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7" activeTab="1"/>
  </bookViews>
  <sheets>
    <sheet name="Raw Data" sheetId="1" r:id="rId1"/>
    <sheet name="Moon I" sheetId="2" r:id="rId2"/>
    <sheet name="Sheet6" sheetId="3" r:id="rId3"/>
    <sheet name="Night 1" sheetId="4" r:id="rId4"/>
    <sheet name="Sheet4" sheetId="5" r:id="rId5"/>
    <sheet name="Published Data" sheetId="6" r:id="rId6"/>
  </sheets>
  <definedNames/>
  <calcPr fullCalcOnLoad="1"/>
</workbook>
</file>

<file path=xl/sharedStrings.xml><?xml version="1.0" encoding="utf-8"?>
<sst xmlns="http://schemas.openxmlformats.org/spreadsheetml/2006/main" count="152" uniqueCount="103">
  <si>
    <t>File</t>
  </si>
  <si>
    <t>DateTime</t>
  </si>
  <si>
    <t>Date</t>
  </si>
  <si>
    <t>Time</t>
  </si>
  <si>
    <t>Day</t>
  </si>
  <si>
    <t>Hour</t>
  </si>
  <si>
    <t>Minute</t>
  </si>
  <si>
    <t>Second</t>
  </si>
  <si>
    <t>Time (seconds)</t>
  </si>
  <si>
    <t>Elp Time (hr)</t>
  </si>
  <si>
    <t>Elp Time (days)</t>
  </si>
  <si>
    <t>I</t>
  </si>
  <si>
    <t>II</t>
  </si>
  <si>
    <t>III</t>
  </si>
  <si>
    <t>IV</t>
  </si>
  <si>
    <t>Moon Order</t>
  </si>
  <si>
    <t>Jupiter_1_2.fit</t>
  </si>
  <si>
    <t>2012-02-08T01:59:44'</t>
  </si>
  <si>
    <t>I,II,III,IV</t>
  </si>
  <si>
    <t>Jupiter_1_3.fit</t>
  </si>
  <si>
    <t>2012-02-08T02:43:12'</t>
  </si>
  <si>
    <t>Jupiter_1_4.fit</t>
  </si>
  <si>
    <t>2012-02-08T03:29:31'</t>
  </si>
  <si>
    <t>Jupiter_1_5.fit</t>
  </si>
  <si>
    <t>2012-02-08T04:02:05'</t>
  </si>
  <si>
    <t>Jupiter_2_1.fit</t>
  </si>
  <si>
    <t>2012-02-09T01:01:04'</t>
  </si>
  <si>
    <t>III,IV,I,II</t>
  </si>
  <si>
    <t>Jupiter_2_2.fit</t>
  </si>
  <si>
    <t>2012-02-09T01:59:40'</t>
  </si>
  <si>
    <t>Jupiter_2_3.fit</t>
  </si>
  <si>
    <t>2012-02-09T03:04:15'</t>
  </si>
  <si>
    <t>Jupiter_3_1.fit</t>
  </si>
  <si>
    <t>2012-02-11T00:11:12'</t>
  </si>
  <si>
    <t>III,II,IV,I</t>
  </si>
  <si>
    <t>Jupiter_3_2.fit</t>
  </si>
  <si>
    <t>2012-02-11T01:10:52'</t>
  </si>
  <si>
    <t>Jupiter_3_3.fit</t>
  </si>
  <si>
    <t>2012-02-11T02:13:43'</t>
  </si>
  <si>
    <t>Jupiter_3_4.fit</t>
  </si>
  <si>
    <t>2012-02-11T03:08:15'</t>
  </si>
  <si>
    <t>Jupiter_4_1.fit</t>
  </si>
  <si>
    <t>2012-02-11T23:48:22'</t>
  </si>
  <si>
    <t>Jupiter_4_2.fit</t>
  </si>
  <si>
    <t>2012-02-12T00:40:33'</t>
  </si>
  <si>
    <t>Jupiter_4_3.fit</t>
  </si>
  <si>
    <t>2012-02-12T01:41:47'</t>
  </si>
  <si>
    <t>Jupiter_4_4.fit</t>
  </si>
  <si>
    <t>2012-02-12T02:46:53'</t>
  </si>
  <si>
    <t>Jupiter_5_1.fit</t>
  </si>
  <si>
    <t>2012-02-12T23:46:27'</t>
  </si>
  <si>
    <t>III,I,IV,II</t>
  </si>
  <si>
    <t>Jupiter_5_2.fit</t>
  </si>
  <si>
    <t>2012-02-13T00:37:42'</t>
  </si>
  <si>
    <t>Jupiter_5_3.fit</t>
  </si>
  <si>
    <t>2012-02-13T01:55:01'</t>
  </si>
  <si>
    <t>Jupiter_5_4.fit</t>
  </si>
  <si>
    <t>2012-02-13T02:41:38'</t>
  </si>
  <si>
    <t xml:space="preserve">Moon </t>
  </si>
  <si>
    <t>Name</t>
  </si>
  <si>
    <t>Ganymede</t>
  </si>
  <si>
    <t>Europa</t>
  </si>
  <si>
    <t>Callisto</t>
  </si>
  <si>
    <t>IO</t>
  </si>
  <si>
    <t>A</t>
  </si>
  <si>
    <t>P</t>
  </si>
  <si>
    <t>Phi</t>
  </si>
  <si>
    <t>t</t>
  </si>
  <si>
    <t>A (calc)</t>
  </si>
  <si>
    <t>Night 1</t>
  </si>
  <si>
    <t>Moon 1</t>
  </si>
  <si>
    <t>x</t>
  </si>
  <si>
    <t>y</t>
  </si>
  <si>
    <t>d (pixels)</t>
  </si>
  <si>
    <t>delta d 1</t>
  </si>
  <si>
    <t>delta d 2</t>
  </si>
  <si>
    <t>v (pixels/hour)</t>
  </si>
  <si>
    <t>d (Kkm)</t>
  </si>
  <si>
    <t>v (Kkm/hr)</t>
  </si>
  <si>
    <t>J</t>
  </si>
  <si>
    <t xml:space="preserve">m </t>
  </si>
  <si>
    <t>b</t>
  </si>
  <si>
    <t>(m^3/kg/s^2)</t>
  </si>
  <si>
    <t>(Kkm)^3/kg/hr</t>
  </si>
  <si>
    <t>moons</t>
  </si>
  <si>
    <t>G</t>
  </si>
  <si>
    <t>perp</t>
  </si>
  <si>
    <t>MJ</t>
  </si>
  <si>
    <t>Moon</t>
  </si>
  <si>
    <t>Io</t>
  </si>
  <si>
    <t>Period (days)</t>
  </si>
  <si>
    <t>Period (hours)</t>
  </si>
  <si>
    <t>perp line</t>
  </si>
  <si>
    <t>Jupiter Diameter</t>
  </si>
  <si>
    <t xml:space="preserve">Distance (Kkm) </t>
  </si>
  <si>
    <t>Distance (Jupiter Diameters)</t>
  </si>
  <si>
    <t>Distance Pixels</t>
  </si>
  <si>
    <t>Orbital Velocity (Kkm/hr)</t>
  </si>
  <si>
    <t>Oribital Velocity (pixels/hr)</t>
  </si>
  <si>
    <t>Orbital Velocity (pixels/day)</t>
  </si>
  <si>
    <t>Kkm</t>
  </si>
  <si>
    <t>Pixels</t>
  </si>
  <si>
    <t>pixels/Kkm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</si>
</sst>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0.000"/>
    <numFmt numFmtId="168" formatCode="0.0"/>
    <numFmt numFmtId="169" formatCode="0.00E+000"/>
  </numFmts>
  <fonts count="4"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'Raw Data'!$J$2:$J$20</c:f>
              <c:numCache/>
            </c:numRef>
          </c:xVal>
          <c:yVal>
            <c:numRef>
              <c:f>'Raw Data'!$L$2:$L$20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'Moon I'!$A$13:$A$112</c:f>
              <c:numCache/>
            </c:numRef>
          </c:xVal>
          <c:yVal>
            <c:numRef>
              <c:f>'Moon I'!$B$13:$B$112</c:f>
              <c:numCache/>
            </c:numRef>
          </c:yVal>
          <c:smooth val="0"/>
        </c:ser>
        <c:axId val="58471445"/>
        <c:axId val="56480958"/>
      </c:scatterChart>
      <c:val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 val="autoZero"/>
        <c:crossBetween val="midCat"/>
        <c:dispUnits/>
      </c:valAx>
      <c:valAx>
        <c:axId val="564809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Jupiter's Moons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'Night 1'!$E$9:$E$28</c:f>
              <c:numCache/>
            </c:numRef>
          </c:xVal>
          <c:yVal>
            <c:numRef>
              <c:f>'Night 1'!$F$9:$F$28</c:f>
              <c:numCache/>
            </c:numRef>
          </c:yVal>
          <c:smooth val="0"/>
        </c:ser>
        <c:ser>
          <c:idx val="1"/>
          <c:order val="1"/>
          <c:tx>
            <c:strRef>
              <c:f>'Night 1'!$D$44:$D$44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0"/>
            <c:dispRSqr val="0"/>
          </c:trendline>
          <c:xVal>
            <c:numRef>
              <c:f>'Night 1'!$D$45:$D$50</c:f>
              <c:numCache/>
            </c:numRef>
          </c:xVal>
          <c:yVal>
            <c:numRef>
              <c:f>'Night 1'!$E$45:$E$50</c:f>
              <c:numCache/>
            </c:numRef>
          </c:yVal>
          <c:smooth val="0"/>
        </c:ser>
        <c:axId val="38566575"/>
        <c:axId val="11554856"/>
      </c:scatterChart>
      <c:valAx>
        <c:axId val="3856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 - 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54856"/>
        <c:crossesAt val="0"/>
        <c:crossBetween val="midCat"/>
        <c:dispUnits/>
      </c:valAx>
      <c:valAx>
        <c:axId val="11554856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 - 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114300</xdr:rowOff>
    </xdr:from>
    <xdr:to>
      <xdr:col>16</xdr:col>
      <xdr:colOff>581025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914900" y="923925"/>
        <a:ext cx="8010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43</xdr:row>
      <xdr:rowOff>57150</xdr:rowOff>
    </xdr:from>
    <xdr:to>
      <xdr:col>15</xdr:col>
      <xdr:colOff>247650</xdr:colOff>
      <xdr:row>80</xdr:row>
      <xdr:rowOff>9525</xdr:rowOff>
    </xdr:to>
    <xdr:graphicFrame>
      <xdr:nvGraphicFramePr>
        <xdr:cNvPr id="1" name="Chart 1"/>
        <xdr:cNvGraphicFramePr/>
      </xdr:nvGraphicFramePr>
      <xdr:xfrm>
        <a:off x="4791075" y="7019925"/>
        <a:ext cx="81248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M21" sqref="M21"/>
    </sheetView>
  </sheetViews>
  <sheetFormatPr defaultColWidth="12.57421875" defaultRowHeight="12.75"/>
  <cols>
    <col min="1" max="1" width="12.8515625" style="0" customWidth="1"/>
    <col min="2" max="2" width="19.00390625" style="0" customWidth="1"/>
    <col min="3" max="4" width="11.57421875" style="0" customWidth="1"/>
    <col min="5" max="5" width="9.28125" style="0" customWidth="1"/>
    <col min="6" max="8" width="11.57421875" style="0" customWidth="1"/>
    <col min="9" max="9" width="17.7109375" style="0" customWidth="1"/>
    <col min="10" max="10" width="18.8515625" style="0" customWidth="1"/>
    <col min="11" max="11" width="18.57421875" style="0" customWidth="1"/>
    <col min="12" max="16384" width="11.5742187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.75">
      <c r="A2" t="s">
        <v>16</v>
      </c>
      <c r="B2" t="s">
        <v>17</v>
      </c>
      <c r="C2" t="str">
        <f>LEFT(B2,FIND("T",B2)-1)</f>
        <v>2012-02-08</v>
      </c>
      <c r="D2" t="str">
        <f>RIGHT(B2,LEN(B2)-FIND("T",B2))</f>
        <v>01:59:44'</v>
      </c>
      <c r="E2" s="1">
        <f>VALUE(RIGHT(C2,2))</f>
        <v>8</v>
      </c>
      <c r="F2" s="1">
        <f>VALUE(LEFT(D2,2))</f>
        <v>1</v>
      </c>
      <c r="G2" s="1">
        <f>VALUE(MID(D2,4,2))</f>
        <v>59</v>
      </c>
      <c r="H2" s="1">
        <f>VALUE(MID(D2,7,2))</f>
        <v>44</v>
      </c>
      <c r="I2" s="1">
        <f>E2*24*3600+F2*3600+G2*60+H2</f>
        <v>698384</v>
      </c>
      <c r="J2" s="2">
        <f>(I2-I$2)/3600</f>
        <v>0</v>
      </c>
      <c r="K2" s="3">
        <f>J2/24</f>
        <v>0</v>
      </c>
      <c r="L2">
        <v>299.3</v>
      </c>
      <c r="M2">
        <v>262.2</v>
      </c>
      <c r="N2">
        <v>31</v>
      </c>
      <c r="O2">
        <v>-150.5</v>
      </c>
      <c r="P2" t="s">
        <v>18</v>
      </c>
    </row>
    <row r="3" spans="1:16" ht="12.75">
      <c r="A3" t="s">
        <v>19</v>
      </c>
      <c r="B3" t="s">
        <v>20</v>
      </c>
      <c r="C3" t="str">
        <f>LEFT(B3,FIND("T",B3)-1)</f>
        <v>2012-02-08</v>
      </c>
      <c r="D3" t="str">
        <f>RIGHT(B3,LEN(B3)-FIND("T",B3))</f>
        <v>02:43:12'</v>
      </c>
      <c r="E3" s="1">
        <f>VALUE(RIGHT(C3,2))</f>
        <v>8</v>
      </c>
      <c r="F3" s="1">
        <f>VALUE(LEFT(D3,2))</f>
        <v>2</v>
      </c>
      <c r="G3" s="1">
        <f>VALUE(MID(D3,4,2))</f>
        <v>43</v>
      </c>
      <c r="H3" s="1">
        <f>VALUE(MID(D3,7,2))</f>
        <v>12</v>
      </c>
      <c r="I3" s="1">
        <f>E3*24*3600+F3*3600+G3*60+H3</f>
        <v>700992</v>
      </c>
      <c r="J3" s="2">
        <f>(I3-I$2)/3600</f>
        <v>0.7244444444444444</v>
      </c>
      <c r="K3" s="3">
        <f>J3/24</f>
        <v>0.030185185185185186</v>
      </c>
      <c r="L3">
        <v>291.2</v>
      </c>
      <c r="M3">
        <v>254.3</v>
      </c>
      <c r="N3">
        <v>39.9</v>
      </c>
      <c r="O3">
        <v>-158.8</v>
      </c>
      <c r="P3" t="s">
        <v>18</v>
      </c>
    </row>
    <row r="4" spans="1:16" ht="12.75">
      <c r="A4" t="s">
        <v>21</v>
      </c>
      <c r="B4" t="s">
        <v>22</v>
      </c>
      <c r="C4" t="str">
        <f>LEFT(B4,FIND("T",B4)-1)</f>
        <v>2012-02-08</v>
      </c>
      <c r="D4" t="str">
        <f>RIGHT(B4,LEN(B4)-FIND("T",B4))</f>
        <v>03:29:31'</v>
      </c>
      <c r="E4" s="1">
        <f>VALUE(RIGHT(C4,2))</f>
        <v>8</v>
      </c>
      <c r="F4" s="1">
        <f>VALUE(LEFT(D4,2))</f>
        <v>3</v>
      </c>
      <c r="G4" s="1">
        <f>VALUE(MID(D4,4,2))</f>
        <v>29</v>
      </c>
      <c r="H4" s="1">
        <f>VALUE(MID(D4,7,2))</f>
        <v>31</v>
      </c>
      <c r="I4" s="1">
        <f>E4*24*3600+F4*3600+G4*60+H4</f>
        <v>703771</v>
      </c>
      <c r="J4" s="2">
        <f>(I4-I$2)/3600</f>
        <v>1.496388888888889</v>
      </c>
      <c r="K4" s="3">
        <f>J4/24</f>
        <v>0.062349537037037044</v>
      </c>
      <c r="L4">
        <v>281.9</v>
      </c>
      <c r="M4">
        <v>248.3</v>
      </c>
      <c r="N4">
        <v>48.1</v>
      </c>
      <c r="O4">
        <v>-165.7</v>
      </c>
      <c r="P4" t="s">
        <v>18</v>
      </c>
    </row>
    <row r="5" spans="1:16" ht="12.75">
      <c r="A5" t="s">
        <v>23</v>
      </c>
      <c r="B5" t="s">
        <v>24</v>
      </c>
      <c r="C5" t="str">
        <f>LEFT(B5,FIND("T",B5)-1)</f>
        <v>2012-02-08</v>
      </c>
      <c r="D5" t="str">
        <f>RIGHT(B5,LEN(B5)-FIND("T",B5))</f>
        <v>04:02:05'</v>
      </c>
      <c r="E5" s="1">
        <f>VALUE(RIGHT(C5,2))</f>
        <v>8</v>
      </c>
      <c r="F5" s="1">
        <f>VALUE(LEFT(D5,2))</f>
        <v>4</v>
      </c>
      <c r="G5" s="1">
        <f>VALUE(MID(D5,4,2))</f>
        <v>2</v>
      </c>
      <c r="H5" s="1">
        <f>VALUE(MID(D5,7,2))</f>
        <v>5</v>
      </c>
      <c r="I5" s="1">
        <f>E5*24*3600+F5*3600+G5*60+H5</f>
        <v>705725</v>
      </c>
      <c r="J5" s="2">
        <f>(I5-I$2)/3600</f>
        <v>2.0391666666666666</v>
      </c>
      <c r="K5" s="3">
        <f>J5/24</f>
        <v>0.08496527777777778</v>
      </c>
      <c r="L5">
        <v>273.2</v>
      </c>
      <c r="M5">
        <v>240.1</v>
      </c>
      <c r="N5">
        <v>54.8</v>
      </c>
      <c r="O5">
        <v>-170.2</v>
      </c>
      <c r="P5" t="s">
        <v>18</v>
      </c>
    </row>
    <row r="6" spans="1:16" ht="12.75">
      <c r="A6" t="s">
        <v>25</v>
      </c>
      <c r="B6" t="s">
        <v>26</v>
      </c>
      <c r="C6" t="str">
        <f>LEFT(B6,FIND("T",B6)-1)</f>
        <v>2012-02-09</v>
      </c>
      <c r="D6" t="str">
        <f>RIGHT(B6,LEN(B6)-FIND("T",B6))</f>
        <v>01:01:04'</v>
      </c>
      <c r="E6" s="1">
        <f>VALUE(RIGHT(C6,2))</f>
        <v>9</v>
      </c>
      <c r="F6" s="1">
        <f>VALUE(LEFT(D6,2))</f>
        <v>1</v>
      </c>
      <c r="G6" s="1">
        <f>VALUE(MID(D6,4,2))</f>
        <v>1</v>
      </c>
      <c r="H6" s="1">
        <f>VALUE(MID(D6,7,2))</f>
        <v>4</v>
      </c>
      <c r="I6" s="1">
        <f>E6*24*3600+F6*3600+G6*60+H6</f>
        <v>781264</v>
      </c>
      <c r="J6" s="2">
        <f>(I6-I$2)/3600</f>
        <v>23.022222222222222</v>
      </c>
      <c r="K6" s="3">
        <f>J6/24</f>
        <v>0.9592592592592593</v>
      </c>
      <c r="L6">
        <v>-48.3</v>
      </c>
      <c r="M6">
        <v>-136</v>
      </c>
      <c r="N6">
        <v>308.7</v>
      </c>
      <c r="O6">
        <v>166.4</v>
      </c>
      <c r="P6" t="s">
        <v>27</v>
      </c>
    </row>
    <row r="7" spans="1:16" ht="12.75">
      <c r="A7" t="s">
        <v>28</v>
      </c>
      <c r="B7" t="s">
        <v>29</v>
      </c>
      <c r="C7" t="str">
        <f>LEFT(B7,FIND("T",B7)-1)</f>
        <v>2012-02-09</v>
      </c>
      <c r="D7" t="str">
        <f>RIGHT(B7,LEN(B7)-FIND("T",B7))</f>
        <v>01:59:40'</v>
      </c>
      <c r="E7" s="1">
        <f>VALUE(RIGHT(C7,2))</f>
        <v>9</v>
      </c>
      <c r="F7" s="1">
        <f>VALUE(LEFT(D7,2))</f>
        <v>1</v>
      </c>
      <c r="G7" s="1">
        <f>VALUE(MID(D7,4,2))</f>
        <v>59</v>
      </c>
      <c r="H7" s="1">
        <f>VALUE(MID(D7,7,2))</f>
        <v>40</v>
      </c>
      <c r="I7" s="1">
        <f>E7*24*3600+F7*3600+G7*60+H7</f>
        <v>784780</v>
      </c>
      <c r="J7" s="2">
        <f>(I7-I$2)/3600</f>
        <v>23.99888888888889</v>
      </c>
      <c r="K7" s="3">
        <f>J7/24</f>
        <v>0.9999537037037037</v>
      </c>
      <c r="L7">
        <v>-63.9</v>
      </c>
      <c r="M7">
        <v>-154</v>
      </c>
      <c r="N7">
        <v>319</v>
      </c>
      <c r="O7">
        <v>175.3</v>
      </c>
      <c r="P7" t="s">
        <v>27</v>
      </c>
    </row>
    <row r="8" spans="1:16" ht="12.75">
      <c r="A8" t="s">
        <v>30</v>
      </c>
      <c r="B8" t="s">
        <v>31</v>
      </c>
      <c r="C8" t="str">
        <f>LEFT(B8,FIND("T",B8)-1)</f>
        <v>2012-02-09</v>
      </c>
      <c r="D8" t="str">
        <f>RIGHT(B8,LEN(B8)-FIND("T",B8))</f>
        <v>03:04:15'</v>
      </c>
      <c r="E8" s="1">
        <f>VALUE(RIGHT(C8,2))</f>
        <v>9</v>
      </c>
      <c r="F8" s="1">
        <f>VALUE(LEFT(D8,2))</f>
        <v>3</v>
      </c>
      <c r="G8" s="1">
        <f>VALUE(MID(D8,4,2))</f>
        <v>4</v>
      </c>
      <c r="H8" s="1">
        <f>VALUE(MID(D8,7,2))</f>
        <v>15</v>
      </c>
      <c r="I8" s="1">
        <f>E8*24*3600+F8*3600+G8*60+H8</f>
        <v>788655</v>
      </c>
      <c r="J8" s="2">
        <f>(I8-I$2)/3600</f>
        <v>25.075277777777778</v>
      </c>
      <c r="K8" s="3">
        <f>J8/24</f>
        <v>1.0448032407407408</v>
      </c>
      <c r="L8">
        <v>-80.7</v>
      </c>
      <c r="M8">
        <v>-171.5</v>
      </c>
      <c r="N8">
        <v>330</v>
      </c>
      <c r="O8">
        <v>175</v>
      </c>
      <c r="P8" t="s">
        <v>27</v>
      </c>
    </row>
    <row r="9" spans="1:16" ht="12.75">
      <c r="A9" t="s">
        <v>32</v>
      </c>
      <c r="B9" t="s">
        <v>33</v>
      </c>
      <c r="C9" t="str">
        <f>LEFT(B9,FIND("T",B9)-1)</f>
        <v>2012-02-11</v>
      </c>
      <c r="D9" t="str">
        <f>RIGHT(B9,LEN(B9)-FIND("T",B9))</f>
        <v>00:11:12'</v>
      </c>
      <c r="E9" s="1">
        <f>VALUE(RIGHT(C9,2))</f>
        <v>11</v>
      </c>
      <c r="F9" s="1">
        <f>VALUE(LEFT(D9,2))</f>
        <v>0</v>
      </c>
      <c r="G9" s="1">
        <f>VALUE(MID(D9,4,2))</f>
        <v>11</v>
      </c>
      <c r="H9" s="1">
        <f>VALUE(MID(D9,7,2))</f>
        <v>12</v>
      </c>
      <c r="I9" s="1">
        <f>E9*24*3600+F9*3600+G9*60+H9</f>
        <v>951072</v>
      </c>
      <c r="J9" s="2">
        <f>(I9-I$2)/3600</f>
        <v>70.19111111111111</v>
      </c>
      <c r="K9" s="3">
        <f>J9/24</f>
        <v>2.9246296296296297</v>
      </c>
      <c r="L9">
        <v>-425.8</v>
      </c>
      <c r="M9">
        <v>203.7</v>
      </c>
      <c r="N9">
        <v>710.8</v>
      </c>
      <c r="O9">
        <v>160.5</v>
      </c>
      <c r="P9" t="s">
        <v>34</v>
      </c>
    </row>
    <row r="10" spans="1:16" ht="12.75">
      <c r="A10" t="s">
        <v>35</v>
      </c>
      <c r="B10" t="s">
        <v>36</v>
      </c>
      <c r="C10" t="str">
        <f>LEFT(B10,FIND("T",B10)-1)</f>
        <v>2012-02-11</v>
      </c>
      <c r="D10" t="str">
        <f>RIGHT(B10,LEN(B10)-FIND("T",B10))</f>
        <v>01:10:52'</v>
      </c>
      <c r="E10" s="1">
        <f>VALUE(RIGHT(C10,2))</f>
        <v>11</v>
      </c>
      <c r="F10" s="1">
        <f>VALUE(LEFT(D10,2))</f>
        <v>1</v>
      </c>
      <c r="G10" s="1">
        <f>VALUE(MID(D10,4,2))</f>
        <v>10</v>
      </c>
      <c r="H10" s="1">
        <f>VALUE(MID(D10,7,2))</f>
        <v>52</v>
      </c>
      <c r="I10" s="1">
        <f>E10*24*3600+F10*3600+G10*60+H10</f>
        <v>954652</v>
      </c>
      <c r="J10" s="2">
        <f>(I10-I$2)/3600</f>
        <v>71.18555555555555</v>
      </c>
      <c r="K10" s="3">
        <f>J10/24</f>
        <v>2.9660648148148145</v>
      </c>
      <c r="L10">
        <v>-422.2</v>
      </c>
      <c r="M10">
        <v>217.6</v>
      </c>
      <c r="N10">
        <v>719.6</v>
      </c>
      <c r="O10">
        <v>149.3</v>
      </c>
      <c r="P10" t="s">
        <v>34</v>
      </c>
    </row>
    <row r="11" spans="1:16" ht="12.75">
      <c r="A11" t="s">
        <v>37</v>
      </c>
      <c r="B11" t="s">
        <v>38</v>
      </c>
      <c r="C11" t="str">
        <f>LEFT(B11,FIND("T",B11)-1)</f>
        <v>2012-02-11</v>
      </c>
      <c r="D11" t="str">
        <f>RIGHT(B11,LEN(B11)-FIND("T",B11))</f>
        <v>02:13:43'</v>
      </c>
      <c r="E11" s="1">
        <f>VALUE(RIGHT(C11,2))</f>
        <v>11</v>
      </c>
      <c r="F11" s="1">
        <f>VALUE(LEFT(D11,2))</f>
        <v>2</v>
      </c>
      <c r="G11" s="1">
        <f>VALUE(MID(D11,4,2))</f>
        <v>13</v>
      </c>
      <c r="H11" s="1">
        <f>VALUE(MID(D11,7,2))</f>
        <v>43</v>
      </c>
      <c r="I11" s="1">
        <f>E11*24*3600+F11*3600+G11*60+H11</f>
        <v>958423</v>
      </c>
      <c r="J11" s="2">
        <f>(I11-I$2)/3600</f>
        <v>72.23305555555555</v>
      </c>
      <c r="K11" s="3">
        <f>J11/24</f>
        <v>3.009710648148148</v>
      </c>
      <c r="L11">
        <v>-418.8</v>
      </c>
      <c r="M11">
        <v>229.4</v>
      </c>
      <c r="N11">
        <v>721.2</v>
      </c>
      <c r="O11">
        <v>133.5</v>
      </c>
      <c r="P11" t="s">
        <v>34</v>
      </c>
    </row>
    <row r="12" spans="1:16" ht="12.75">
      <c r="A12" t="s">
        <v>39</v>
      </c>
      <c r="B12" t="s">
        <v>40</v>
      </c>
      <c r="C12" t="str">
        <f>LEFT(B12,FIND("T",B12)-1)</f>
        <v>2012-02-11</v>
      </c>
      <c r="D12" t="str">
        <f>RIGHT(B12,LEN(B12)-FIND("T",B12))</f>
        <v>03:08:15'</v>
      </c>
      <c r="E12" s="1">
        <f>VALUE(RIGHT(C12,2))</f>
        <v>11</v>
      </c>
      <c r="F12" s="1">
        <f>VALUE(LEFT(D12,2))</f>
        <v>3</v>
      </c>
      <c r="G12" s="1">
        <f>VALUE(MID(D12,4,2))</f>
        <v>8</v>
      </c>
      <c r="H12" s="1">
        <f>VALUE(MID(D12,7,2))</f>
        <v>15</v>
      </c>
      <c r="I12" s="1">
        <f>E12*24*3600+F12*3600+G12*60+H12</f>
        <v>961695</v>
      </c>
      <c r="J12" s="2">
        <f>(I12-I$2)/3600</f>
        <v>73.14194444444445</v>
      </c>
      <c r="K12" s="3">
        <f>J12/24</f>
        <v>3.047581018518519</v>
      </c>
      <c r="L12">
        <v>-410.8</v>
      </c>
      <c r="M12">
        <v>242.9</v>
      </c>
      <c r="N12">
        <v>726.4</v>
      </c>
      <c r="O12">
        <v>116.1</v>
      </c>
      <c r="P12" t="s">
        <v>34</v>
      </c>
    </row>
    <row r="13" spans="1:16" ht="12.75">
      <c r="A13" t="s">
        <v>41</v>
      </c>
      <c r="B13" t="s">
        <v>42</v>
      </c>
      <c r="C13" t="str">
        <f>LEFT(B13,FIND("T",B13)-1)</f>
        <v>2012-02-11</v>
      </c>
      <c r="D13" t="str">
        <f>RIGHT(B13,LEN(B13)-FIND("T",B13))</f>
        <v>23:48:22'</v>
      </c>
      <c r="E13" s="1">
        <f>VALUE(RIGHT(C13,2))</f>
        <v>11</v>
      </c>
      <c r="F13" s="1">
        <f>VALUE(LEFT(D13,2))</f>
        <v>23</v>
      </c>
      <c r="G13" s="1">
        <f>VALUE(MID(D13,4,2))</f>
        <v>48</v>
      </c>
      <c r="H13" s="1">
        <f>VALUE(MID(D13,7,2))</f>
        <v>22</v>
      </c>
      <c r="I13" s="1">
        <f>E13*24*3600+F13*3600+G13*60+H13</f>
        <v>1036102</v>
      </c>
      <c r="J13" s="2">
        <f>(I13-I$2)/3600</f>
        <v>93.81055555555555</v>
      </c>
      <c r="K13" s="3">
        <f>J13/24</f>
        <v>3.908773148148148</v>
      </c>
      <c r="L13">
        <v>-188.6</v>
      </c>
      <c r="M13">
        <v>147.3</v>
      </c>
      <c r="N13">
        <v>783.4</v>
      </c>
      <c r="O13">
        <v>-124.1</v>
      </c>
      <c r="P13" t="s">
        <v>34</v>
      </c>
    </row>
    <row r="14" spans="1:16" ht="12.75">
      <c r="A14" t="s">
        <v>43</v>
      </c>
      <c r="B14" t="s">
        <v>44</v>
      </c>
      <c r="C14" t="str">
        <f>LEFT(B14,FIND("T",B14)-1)</f>
        <v>2012-02-12</v>
      </c>
      <c r="D14" t="str">
        <f>RIGHT(B14,LEN(B14)-FIND("T",B14))</f>
        <v>00:40:33'</v>
      </c>
      <c r="E14" s="1">
        <f>VALUE(RIGHT(C14,2))</f>
        <v>12</v>
      </c>
      <c r="F14" s="1">
        <f>VALUE(LEFT(D14,2))</f>
        <v>0</v>
      </c>
      <c r="G14" s="1">
        <f>VALUE(MID(D14,4,2))</f>
        <v>40</v>
      </c>
      <c r="H14" s="1">
        <f>VALUE(MID(D14,7,2))</f>
        <v>33</v>
      </c>
      <c r="I14" s="1">
        <f>E14*24*3600+F14*3600+G14*60+H14</f>
        <v>1039233</v>
      </c>
      <c r="J14" s="2">
        <f>(I14-I$2)/3600</f>
        <v>94.68027777777777</v>
      </c>
      <c r="K14" s="3">
        <f>J14/24</f>
        <v>3.945011574074074</v>
      </c>
      <c r="L14">
        <v>-174.6</v>
      </c>
      <c r="M14">
        <v>134.1</v>
      </c>
      <c r="N14">
        <v>786.3</v>
      </c>
      <c r="O14">
        <v>-110.68</v>
      </c>
      <c r="P14" t="s">
        <v>34</v>
      </c>
    </row>
    <row r="15" spans="1:16" ht="12.75">
      <c r="A15" t="s">
        <v>45</v>
      </c>
      <c r="B15" t="s">
        <v>46</v>
      </c>
      <c r="C15" t="str">
        <f>LEFT(B15,FIND("T",B15)-1)</f>
        <v>2012-02-12</v>
      </c>
      <c r="D15" t="str">
        <f>RIGHT(B15,LEN(B15)-FIND("T",B15))</f>
        <v>01:41:47'</v>
      </c>
      <c r="E15" s="1">
        <f>VALUE(RIGHT(C15,2))</f>
        <v>12</v>
      </c>
      <c r="F15" s="1">
        <f>VALUE(LEFT(D15,2))</f>
        <v>1</v>
      </c>
      <c r="G15" s="1">
        <f>VALUE(MID(D15,4,2))</f>
        <v>41</v>
      </c>
      <c r="H15" s="1">
        <f>VALUE(MID(D15,7,2))</f>
        <v>47</v>
      </c>
      <c r="I15" s="1">
        <f>E15*24*3600+F15*3600+G15*60+H15</f>
        <v>1042907</v>
      </c>
      <c r="J15" s="2">
        <f>(I15-I$2)/3600</f>
        <v>95.70083333333334</v>
      </c>
      <c r="K15" s="3">
        <f>J15/24</f>
        <v>3.987534722222222</v>
      </c>
      <c r="L15">
        <v>-158.1</v>
      </c>
      <c r="M15">
        <v>113.9</v>
      </c>
      <c r="N15">
        <v>784.1</v>
      </c>
      <c r="O15">
        <v>-86.6</v>
      </c>
      <c r="P15" t="s">
        <v>34</v>
      </c>
    </row>
    <row r="16" spans="1:16" ht="12.75">
      <c r="A16" t="s">
        <v>47</v>
      </c>
      <c r="B16" t="s">
        <v>48</v>
      </c>
      <c r="C16" t="str">
        <f>LEFT(B16,FIND("T",B16)-1)</f>
        <v>2012-02-12</v>
      </c>
      <c r="D16" t="str">
        <f>RIGHT(B16,LEN(B16)-FIND("T",B16))</f>
        <v>02:46:53'</v>
      </c>
      <c r="E16" s="1">
        <f>VALUE(RIGHT(C16,2))</f>
        <v>12</v>
      </c>
      <c r="F16" s="1">
        <f>VALUE(LEFT(D16,2))</f>
        <v>2</v>
      </c>
      <c r="G16" s="1">
        <f>VALUE(MID(D16,4,2))</f>
        <v>46</v>
      </c>
      <c r="H16" s="1">
        <f>VALUE(MID(D16,7,2))</f>
        <v>53</v>
      </c>
      <c r="I16" s="1">
        <f>E16*24*3600+F16*3600+G16*60+H16</f>
        <v>1046813</v>
      </c>
      <c r="J16" s="2">
        <f>(I16-I$2)/3600</f>
        <v>96.78583333333333</v>
      </c>
      <c r="K16" s="3">
        <f>J16/24</f>
        <v>4.032743055555556</v>
      </c>
      <c r="L16">
        <v>-142.3</v>
      </c>
      <c r="M16">
        <v>94.2</v>
      </c>
      <c r="N16">
        <v>785</v>
      </c>
      <c r="O16">
        <v>-62.6</v>
      </c>
      <c r="P16" t="s">
        <v>34</v>
      </c>
    </row>
    <row r="17" spans="1:16" ht="12.75">
      <c r="A17" t="s">
        <v>49</v>
      </c>
      <c r="B17" t="s">
        <v>50</v>
      </c>
      <c r="C17" t="str">
        <f>LEFT(B17,FIND("T",B17)-1)</f>
        <v>2012-02-12</v>
      </c>
      <c r="D17" t="str">
        <f>RIGHT(B17,LEN(B17)-FIND("T",B17))</f>
        <v>23:46:27'</v>
      </c>
      <c r="E17" s="1">
        <f>VALUE(RIGHT(C17,2))</f>
        <v>12</v>
      </c>
      <c r="F17" s="1">
        <f>VALUE(LEFT(D17,2))</f>
        <v>23</v>
      </c>
      <c r="G17" s="1">
        <f>VALUE(MID(D17,4,2))</f>
        <v>46</v>
      </c>
      <c r="H17" s="1">
        <f>VALUE(MID(D17,7,2))</f>
        <v>27</v>
      </c>
      <c r="I17" s="1">
        <f>E17*24*3600+F17*3600+G17*60+H17</f>
        <v>1122387</v>
      </c>
      <c r="J17" s="2">
        <f>(I17-I$2)/3600</f>
        <v>117.7786111111111</v>
      </c>
      <c r="K17" s="3">
        <f>J17/24</f>
        <v>4.907442129629629</v>
      </c>
      <c r="L17">
        <v>187.5</v>
      </c>
      <c r="M17">
        <v>-262.2</v>
      </c>
      <c r="N17">
        <v>747</v>
      </c>
      <c r="O17">
        <v>69.8</v>
      </c>
      <c r="P17" t="s">
        <v>51</v>
      </c>
    </row>
    <row r="18" spans="1:16" ht="12.75">
      <c r="A18" t="s">
        <v>52</v>
      </c>
      <c r="B18" t="s">
        <v>53</v>
      </c>
      <c r="C18" t="str">
        <f>LEFT(B18,FIND("T",B18)-1)</f>
        <v>2012-02-13</v>
      </c>
      <c r="D18" t="str">
        <f>RIGHT(B18,LEN(B18)-FIND("T",B18))</f>
        <v>00:37:42'</v>
      </c>
      <c r="E18" s="1">
        <f>VALUE(RIGHT(C18,2))</f>
        <v>13</v>
      </c>
      <c r="F18" s="1">
        <f>VALUE(LEFT(D18,2))</f>
        <v>0</v>
      </c>
      <c r="G18" s="1">
        <f>VALUE(MID(D18,4,2))</f>
        <v>37</v>
      </c>
      <c r="H18" s="1">
        <f>VALUE(MID(D18,7,2))</f>
        <v>42</v>
      </c>
      <c r="I18" s="1">
        <f>E18*24*3600+F18*3600+G18*60+H18</f>
        <v>1125462</v>
      </c>
      <c r="J18" s="2">
        <f>(I18-I$2)/3600</f>
        <v>118.63277777777778</v>
      </c>
      <c r="K18" s="3">
        <f>J18/24</f>
        <v>4.943032407407407</v>
      </c>
      <c r="L18">
        <v>198.4</v>
      </c>
      <c r="M18">
        <v>-264.1</v>
      </c>
      <c r="N18">
        <v>745.1</v>
      </c>
      <c r="O18">
        <v>48.1</v>
      </c>
      <c r="P18" t="s">
        <v>51</v>
      </c>
    </row>
    <row r="19" spans="1:16" ht="12.75">
      <c r="A19" t="s">
        <v>54</v>
      </c>
      <c r="B19" t="s">
        <v>55</v>
      </c>
      <c r="C19" t="str">
        <f>LEFT(B19,FIND("T",B19)-1)</f>
        <v>2012-02-13</v>
      </c>
      <c r="D19" t="str">
        <f>RIGHT(B19,LEN(B19)-FIND("T",B19))</f>
        <v>01:55:01'</v>
      </c>
      <c r="E19" s="1">
        <f>VALUE(RIGHT(C19,2))</f>
        <v>13</v>
      </c>
      <c r="F19" s="1">
        <f>VALUE(LEFT(D19,2))</f>
        <v>1</v>
      </c>
      <c r="G19" s="1">
        <f>VALUE(MID(D19,4,2))</f>
        <v>55</v>
      </c>
      <c r="H19" s="1">
        <f>VALUE(MID(D19,7,2))</f>
        <v>1</v>
      </c>
      <c r="I19" s="1">
        <f>E19*24*3600+F19*3600+G19*60+H19</f>
        <v>1130101</v>
      </c>
      <c r="J19" s="2">
        <f>(I19-I$2)/3600</f>
        <v>119.92138888888888</v>
      </c>
      <c r="K19" s="3">
        <f>J19/24</f>
        <v>4.996724537037037</v>
      </c>
      <c r="L19">
        <v>213.9</v>
      </c>
      <c r="M19">
        <v>-270.1</v>
      </c>
      <c r="N19">
        <v>741.6</v>
      </c>
      <c r="O19">
        <v>26</v>
      </c>
      <c r="P19" t="s">
        <v>51</v>
      </c>
    </row>
    <row r="20" spans="1:16" ht="12.75">
      <c r="A20" t="s">
        <v>56</v>
      </c>
      <c r="B20" t="s">
        <v>57</v>
      </c>
      <c r="C20" t="str">
        <f>LEFT(B20,FIND("T",B20)-1)</f>
        <v>2012-02-13</v>
      </c>
      <c r="D20" t="str">
        <f>RIGHT(B20,LEN(B20)-FIND("T",B20))</f>
        <v>02:41:38'</v>
      </c>
      <c r="E20" s="1">
        <f>VALUE(RIGHT(C20,2))</f>
        <v>13</v>
      </c>
      <c r="F20" s="1">
        <f>VALUE(LEFT(D20,2))</f>
        <v>2</v>
      </c>
      <c r="G20" s="1">
        <f>VALUE(MID(D20,4,2))</f>
        <v>41</v>
      </c>
      <c r="H20" s="1">
        <f>VALUE(MID(D20,7,2))</f>
        <v>38</v>
      </c>
      <c r="I20" s="1">
        <f>E20*24*3600+F20*3600+G20*60+H20</f>
        <v>1132898</v>
      </c>
      <c r="J20" s="2">
        <f>(I20-I$2)/3600</f>
        <v>120.69833333333334</v>
      </c>
      <c r="K20" s="3">
        <f>J20/24</f>
        <v>5.029097222222222</v>
      </c>
      <c r="L20">
        <v>226.2</v>
      </c>
      <c r="M20">
        <v>-274.2</v>
      </c>
      <c r="N20">
        <v>736.5</v>
      </c>
      <c r="O20">
        <v>4</v>
      </c>
      <c r="P20" t="s">
        <v>51</v>
      </c>
    </row>
    <row r="30" spans="6:7" ht="12.75">
      <c r="F30" t="s">
        <v>58</v>
      </c>
      <c r="G30" t="s">
        <v>59</v>
      </c>
    </row>
    <row r="31" spans="6:7" ht="12.75">
      <c r="F31" t="s">
        <v>11</v>
      </c>
      <c r="G31" t="s">
        <v>60</v>
      </c>
    </row>
    <row r="32" spans="6:7" ht="12.75">
      <c r="F32" t="s">
        <v>12</v>
      </c>
      <c r="G32" t="s">
        <v>61</v>
      </c>
    </row>
    <row r="33" spans="6:7" ht="12.75">
      <c r="F33" t="s">
        <v>13</v>
      </c>
      <c r="G33" t="s">
        <v>62</v>
      </c>
    </row>
    <row r="34" spans="6:7" ht="12.75">
      <c r="F34" t="s">
        <v>14</v>
      </c>
      <c r="G34" t="s">
        <v>63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D112"/>
  <sheetViews>
    <sheetView tabSelected="1" zoomScale="110" zoomScaleNormal="110" workbookViewId="0" topLeftCell="A1">
      <selection activeCell="C9" sqref="C9"/>
    </sheetView>
  </sheetViews>
  <sheetFormatPr defaultColWidth="12.57421875" defaultRowHeight="12.75"/>
  <cols>
    <col min="1" max="16384" width="11.57421875" style="0" customWidth="1"/>
  </cols>
  <sheetData>
    <row r="7" spans="2:4" ht="12.75">
      <c r="B7" t="s">
        <v>64</v>
      </c>
      <c r="C7" t="s">
        <v>65</v>
      </c>
      <c r="D7" t="s">
        <v>66</v>
      </c>
    </row>
    <row r="8" spans="2:4" ht="12.75">
      <c r="B8">
        <v>400</v>
      </c>
      <c r="C8">
        <v>160</v>
      </c>
      <c r="D8">
        <v>0.5</v>
      </c>
    </row>
    <row r="12" spans="1:2" ht="12.75">
      <c r="A12" t="s">
        <v>67</v>
      </c>
      <c r="B12" t="s">
        <v>68</v>
      </c>
    </row>
    <row r="13" spans="1:2" ht="12.75">
      <c r="A13" s="1">
        <f>'Raw Data'!J20/100</f>
        <v>1.2069833333333333</v>
      </c>
      <c r="B13" s="1">
        <f>B$8*COS(2*PI()*A13/C$8+D$8)</f>
        <v>341.5526407382604</v>
      </c>
    </row>
    <row r="14" spans="1:2" ht="12.75">
      <c r="A14" s="1">
        <f>A13+'Raw Data'!J$20/100</f>
        <v>2.4139666666666666</v>
      </c>
      <c r="B14" s="1">
        <f>B$8*COS(2*PI()*A14/C$8+D$8)</f>
        <v>331.3050742743119</v>
      </c>
    </row>
    <row r="15" spans="1:2" ht="12.75">
      <c r="A15" s="1">
        <f>A14+'Raw Data'!J$20/100</f>
        <v>3.6209499999999997</v>
      </c>
      <c r="B15" s="1">
        <f>B$8*COS(2*PI()*A15/C$8+D$8)</f>
        <v>320.31334305519</v>
      </c>
    </row>
    <row r="16" spans="1:2" ht="12.75">
      <c r="A16" s="1">
        <f>A15+'Raw Data'!J$20/100</f>
        <v>4.827933333333333</v>
      </c>
      <c r="B16" s="1">
        <f>B$8*COS(2*PI()*A16/C$8+D$8)</f>
        <v>308.60213628612206</v>
      </c>
    </row>
    <row r="17" spans="1:2" ht="12.75">
      <c r="A17" s="1">
        <f>A16+'Raw Data'!J$20/100</f>
        <v>6.034916666666667</v>
      </c>
      <c r="B17" s="1">
        <f>B$8*COS(2*PI()*A17/C$8+D$8)</f>
        <v>296.19775923073007</v>
      </c>
    </row>
    <row r="18" spans="1:2" ht="12.75">
      <c r="A18" s="1">
        <f>A17+'Raw Data'!J$20/100</f>
        <v>7.2419</v>
      </c>
      <c r="B18" s="1">
        <f>B$8*COS(2*PI()*A18/C$8+D$8)</f>
        <v>283.128074125156</v>
      </c>
    </row>
    <row r="19" spans="1:2" ht="12.75">
      <c r="A19" s="1">
        <f>A18+'Raw Data'!J$20/100</f>
        <v>8.448883333333333</v>
      </c>
      <c r="B19" s="1">
        <f>B$8*COS(2*PI()*A19/C$8+D$8)</f>
        <v>269.4224375949757</v>
      </c>
    </row>
    <row r="20" spans="1:2" ht="12.75">
      <c r="A20" s="1">
        <f>A19+'Raw Data'!J$20/100</f>
        <v>9.655866666666666</v>
      </c>
      <c r="B20" s="1">
        <f>B$8*COS(2*PI()*A20/C$8+D$8)</f>
        <v>255.11163471547144</v>
      </c>
    </row>
    <row r="21" spans="1:2" ht="12.75">
      <c r="A21" s="1">
        <f>A20+'Raw Data'!J$20/100</f>
        <v>10.86285</v>
      </c>
      <c r="B21" s="1">
        <f>B$8*COS(2*PI()*A21/C$8+D$8)</f>
        <v>240.22780986337665</v>
      </c>
    </row>
    <row r="22" spans="1:2" ht="12.75">
      <c r="A22" s="1">
        <f>A21+'Raw Data'!J$20/100</f>
        <v>12.069833333333333</v>
      </c>
      <c r="B22" s="1">
        <f>B$8*COS(2*PI()*A22/C$8+D$8)</f>
        <v>224.80439451540914</v>
      </c>
    </row>
    <row r="23" spans="1:2" ht="12.75">
      <c r="A23" s="1">
        <f>A22+'Raw Data'!J$20/100</f>
        <v>13.276816666666667</v>
      </c>
      <c r="B23" s="1">
        <f>B$8*COS(2*PI()*A23/C$8+D$8)</f>
        <v>208.87603215577008</v>
      </c>
    </row>
    <row r="24" spans="1:2" ht="12.75">
      <c r="A24" s="1">
        <f>A23+'Raw Data'!J$20/100</f>
        <v>14.4838</v>
      </c>
      <c r="B24" s="1">
        <f>B$8*COS(2*PI()*A24/C$8+D$8)</f>
        <v>192.4785004612777</v>
      </c>
    </row>
    <row r="25" spans="1:2" ht="12.75">
      <c r="A25" s="1">
        <f>A24+'Raw Data'!J$20/100</f>
        <v>15.690783333333334</v>
      </c>
      <c r="B25" s="1">
        <f>B$8*COS(2*PI()*A25/C$8+D$8)</f>
        <v>175.64863093892185</v>
      </c>
    </row>
    <row r="26" spans="1:2" ht="12.75">
      <c r="A26" s="1">
        <f>A25+'Raw Data'!J$20/100</f>
        <v>16.897766666666666</v>
      </c>
      <c r="B26" s="1">
        <f>B$8*COS(2*PI()*A26/C$8+D$8)</f>
        <v>158.42422619634485</v>
      </c>
    </row>
    <row r="27" spans="1:2" ht="12.75">
      <c r="A27" s="1">
        <f>A26+'Raw Data'!J$20/100</f>
        <v>18.10475</v>
      </c>
      <c r="B27" s="1">
        <f>B$8*COS(2*PI()*A27/C$8+D$8)</f>
        <v>140.84397503107377</v>
      </c>
    </row>
    <row r="28" spans="1:2" ht="12.75">
      <c r="A28" s="1">
        <f>A27+'Raw Data'!J$20/100</f>
        <v>19.311733333333333</v>
      </c>
      <c r="B28" s="1">
        <f>B$8*COS(2*PI()*A28/C$8+D$8)</f>
        <v>122.94736552922652</v>
      </c>
    </row>
    <row r="29" spans="1:2" ht="12.75">
      <c r="A29" s="1">
        <f>A28+'Raw Data'!J$20/100</f>
        <v>20.518716666666666</v>
      </c>
      <c r="B29" s="1">
        <f>B$8*COS(2*PI()*A29/C$8+D$8)</f>
        <v>104.77459636888722</v>
      </c>
    </row>
    <row r="30" spans="1:2" ht="12.75">
      <c r="A30" s="1">
        <f>A29+'Raw Data'!J$20/100</f>
        <v>21.7257</v>
      </c>
      <c r="B30" s="1">
        <f>B$8*COS(2*PI()*A30/C$8+D$8)</f>
        <v>86.3664865273766</v>
      </c>
    </row>
    <row r="31" spans="1:2" ht="12.75">
      <c r="A31" s="1">
        <f>A30+'Raw Data'!J$20/100</f>
        <v>22.932683333333333</v>
      </c>
      <c r="B31" s="1">
        <f>B$8*COS(2*PI()*A31/C$8+D$8)</f>
        <v>67.76438359523006</v>
      </c>
    </row>
    <row r="32" spans="1:2" ht="12.75">
      <c r="A32" s="1">
        <f>A31+'Raw Data'!J$20/100</f>
        <v>24.139666666666667</v>
      </c>
      <c r="B32" s="1">
        <f>B$8*COS(2*PI()*A32/C$8+D$8)</f>
        <v>49.01007090282533</v>
      </c>
    </row>
    <row r="33" spans="1:2" ht="12.75">
      <c r="A33" s="1">
        <f>A32+'Raw Data'!J$20/100</f>
        <v>25.34665</v>
      </c>
      <c r="B33" s="1">
        <f>B$8*COS(2*PI()*A33/C$8+D$8)</f>
        <v>30.145673668267754</v>
      </c>
    </row>
    <row r="34" spans="1:2" ht="12.75">
      <c r="A34" s="1">
        <f>A33+'Raw Data'!J$20/100</f>
        <v>26.553633333333334</v>
      </c>
      <c r="B34" s="1">
        <f>B$8*COS(2*PI()*A34/C$8+D$8)</f>
        <v>11.213564377340225</v>
      </c>
    </row>
    <row r="35" spans="1:2" ht="12.75">
      <c r="A35" s="1">
        <f>A34+'Raw Data'!J$20/100</f>
        <v>27.760616666666667</v>
      </c>
      <c r="B35" s="1">
        <f>B$8*COS(2*PI()*A35/C$8+D$8)</f>
        <v>-7.743732391949326</v>
      </c>
    </row>
    <row r="36" spans="1:2" ht="12.75">
      <c r="A36" s="1">
        <f>A35+'Raw Data'!J$20/100</f>
        <v>28.9676</v>
      </c>
      <c r="B36" s="1">
        <f>B$8*COS(2*PI()*A36/C$8+D$8)</f>
        <v>-26.68363548644454</v>
      </c>
    </row>
    <row r="37" spans="1:2" ht="12.75">
      <c r="A37" s="1">
        <f>A36+'Raw Data'!J$20/100</f>
        <v>30.174583333333334</v>
      </c>
      <c r="B37" s="1">
        <f>B$8*COS(2*PI()*A37/C$8+D$8)</f>
        <v>-45.563602821995005</v>
      </c>
    </row>
    <row r="38" spans="1:2" ht="12.75">
      <c r="A38" s="1">
        <f>A37+'Raw Data'!J$20/100</f>
        <v>31.381566666666668</v>
      </c>
      <c r="B38" s="1">
        <f>B$8*COS(2*PI()*A38/C$8+D$8)</f>
        <v>-64.3412269398537</v>
      </c>
    </row>
    <row r="39" spans="1:2" ht="12.75">
      <c r="A39" s="1">
        <f>A38+'Raw Data'!J$20/100</f>
        <v>32.58855</v>
      </c>
      <c r="B39" s="1">
        <f>B$8*COS(2*PI()*A39/C$8+D$8)</f>
        <v>-82.97433026068518</v>
      </c>
    </row>
    <row r="40" spans="1:2" ht="12.75">
      <c r="A40" s="1">
        <f>A39+'Raw Data'!J$20/100</f>
        <v>33.79553333333333</v>
      </c>
      <c r="B40" s="1">
        <f>B$8*COS(2*PI()*A40/C$8+D$8)</f>
        <v>-101.42105982222749</v>
      </c>
    </row>
    <row r="41" spans="1:2" ht="12.75">
      <c r="A41" s="1">
        <f>A40+'Raw Data'!J$20/100</f>
        <v>35.002516666666665</v>
      </c>
      <c r="B41" s="1">
        <f>B$8*COS(2*PI()*A41/C$8+D$8)</f>
        <v>-119.63998128781064</v>
      </c>
    </row>
    <row r="42" spans="1:2" ht="12.75">
      <c r="A42" s="1">
        <f>A41+'Raw Data'!J$20/100</f>
        <v>36.2095</v>
      </c>
      <c r="B42" s="1">
        <f>B$8*COS(2*PI()*A42/C$8+D$8)</f>
        <v>-137.59017201457547</v>
      </c>
    </row>
    <row r="43" spans="1:2" ht="12.75">
      <c r="A43" s="1">
        <f>A42+'Raw Data'!J$20/100</f>
        <v>37.41648333333333</v>
      </c>
      <c r="B43" s="1">
        <f>B$8*COS(2*PI()*A43/C$8+D$8)</f>
        <v>-155.23131297234482</v>
      </c>
    </row>
    <row r="44" spans="1:2" ht="12.75">
      <c r="A44" s="1">
        <f>A43+'Raw Data'!J$20/100</f>
        <v>38.623466666666666</v>
      </c>
      <c r="B44" s="1">
        <f>B$8*COS(2*PI()*A44/C$8+D$8)</f>
        <v>-172.52377930668345</v>
      </c>
    </row>
    <row r="45" spans="1:2" ht="12.75">
      <c r="A45" s="1">
        <f>A44+'Raw Data'!J$20/100</f>
        <v>39.83045</v>
      </c>
      <c r="B45" s="1">
        <f>B$8*COS(2*PI()*A45/C$8+D$8)</f>
        <v>-189.4287293427265</v>
      </c>
    </row>
    <row r="46" spans="1:2" ht="12.75">
      <c r="A46" s="1">
        <f>A45+'Raw Data'!J$20/100</f>
        <v>41.03743333333333</v>
      </c>
      <c r="B46" s="1">
        <f>B$8*COS(2*PI()*A46/C$8+D$8)</f>
        <v>-205.9081918298603</v>
      </c>
    </row>
    <row r="47" spans="1:2" ht="12.75">
      <c r="A47" s="1">
        <f>A46+'Raw Data'!J$20/100</f>
        <v>42.244416666666666</v>
      </c>
      <c r="B47" s="1">
        <f>B$8*COS(2*PI()*A47/C$8+D$8)</f>
        <v>-221.92515123129022</v>
      </c>
    </row>
    <row r="48" spans="1:2" ht="12.75">
      <c r="A48" s="1">
        <f>A47+'Raw Data'!J$20/100</f>
        <v>43.4514</v>
      </c>
      <c r="B48" s="1">
        <f>B$8*COS(2*PI()*A48/C$8+D$8)</f>
        <v>-237.4436308669193</v>
      </c>
    </row>
    <row r="49" spans="1:2" ht="12.75">
      <c r="A49" s="1">
        <f>A48+'Raw Data'!J$20/100</f>
        <v>44.65838333333333</v>
      </c>
      <c r="B49" s="1">
        <f>B$8*COS(2*PI()*A49/C$8+D$8)</f>
        <v>-252.42877372278855</v>
      </c>
    </row>
    <row r="50" spans="1:2" ht="12.75">
      <c r="A50" s="1">
        <f>A49+'Raw Data'!J$20/100</f>
        <v>45.86536666666667</v>
      </c>
      <c r="B50" s="1">
        <f>B$8*COS(2*PI()*A50/C$8+D$8)</f>
        <v>-266.84692074556483</v>
      </c>
    </row>
    <row r="51" spans="1:2" ht="12.75">
      <c r="A51" s="1">
        <f>A50+'Raw Data'!J$20/100</f>
        <v>47.07235</v>
      </c>
      <c r="B51" s="1">
        <f>B$8*COS(2*PI()*A51/C$8+D$8)</f>
        <v>-280.66568644621555</v>
      </c>
    </row>
    <row r="52" spans="1:2" ht="12.75">
      <c r="A52" s="1">
        <f>A51+'Raw Data'!J$20/100</f>
        <v>48.279333333333334</v>
      </c>
      <c r="B52" s="1">
        <f>B$8*COS(2*PI()*A52/C$8+D$8)</f>
        <v>-293.8540316430534</v>
      </c>
    </row>
    <row r="53" spans="1:2" ht="12.75">
      <c r="A53" s="1">
        <f>A52+'Raw Data'!J$20/100</f>
        <v>49.48631666666667</v>
      </c>
      <c r="B53" s="1">
        <f>B$8*COS(2*PI()*A53/C$8+D$8)</f>
        <v>-306.3823331807551</v>
      </c>
    </row>
    <row r="54" spans="1:2" ht="12.75">
      <c r="A54" s="1">
        <f>A53+'Raw Data'!J$20/100</f>
        <v>50.6933</v>
      </c>
      <c r="B54" s="1">
        <f>B$8*COS(2*PI()*A54/C$8+D$8)</f>
        <v>-318.2224504687579</v>
      </c>
    </row>
    <row r="55" spans="1:2" ht="12.75">
      <c r="A55" s="1">
        <f>A54+'Raw Data'!J$20/100</f>
        <v>51.900283333333334</v>
      </c>
      <c r="B55" s="1">
        <f>B$8*COS(2*PI()*A55/C$8+D$8)</f>
        <v>-329.3477886895749</v>
      </c>
    </row>
    <row r="56" spans="1:2" ht="12.75">
      <c r="A56" s="1">
        <f>A55+'Raw Data'!J$20/100</f>
        <v>53.10726666666667</v>
      </c>
      <c r="B56" s="1">
        <f>B$8*COS(2*PI()*A56/C$8+D$8)</f>
        <v>-339.733358535054</v>
      </c>
    </row>
    <row r="57" spans="1:2" ht="12.75">
      <c r="A57" s="1">
        <f>A56+'Raw Data'!J$20/100</f>
        <v>54.31425</v>
      </c>
      <c r="B57" s="1">
        <f>B$8*COS(2*PI()*A57/C$8+D$8)</f>
        <v>-349.35583233640455</v>
      </c>
    </row>
    <row r="58" spans="1:2" ht="12.75">
      <c r="A58" s="1">
        <f>A57+'Raw Data'!J$20/100</f>
        <v>55.521233333333335</v>
      </c>
      <c r="B58" s="1">
        <f>B$8*COS(2*PI()*A58/C$8+D$8)</f>
        <v>-358.19359646191185</v>
      </c>
    </row>
    <row r="59" spans="1:2" ht="12.75">
      <c r="A59" s="1">
        <f>A58+'Raw Data'!J$20/100</f>
        <v>56.72821666666667</v>
      </c>
      <c r="B59" s="1">
        <f>B$8*COS(2*PI()*A59/C$8+D$8)</f>
        <v>-366.22679986464834</v>
      </c>
    </row>
    <row r="60" spans="1:2" ht="12.75">
      <c r="A60" s="1">
        <f>A59+'Raw Data'!J$20/100</f>
        <v>57.9352</v>
      </c>
      <c r="B60" s="1">
        <f>B$8*COS(2*PI()*A60/C$8+D$8)</f>
        <v>-373.4373986711343</v>
      </c>
    </row>
    <row r="61" spans="1:2" ht="12.75">
      <c r="A61" s="1">
        <f>A60+'Raw Data'!J$20/100</f>
        <v>59.142183333333335</v>
      </c>
      <c r="B61" s="1">
        <f>B$8*COS(2*PI()*A61/C$8+D$8)</f>
        <v>-379.80919671079414</v>
      </c>
    </row>
    <row r="62" spans="1:2" ht="12.75">
      <c r="A62" s="1">
        <f>A61+'Raw Data'!J$20/100</f>
        <v>60.34916666666667</v>
      </c>
      <c r="B62" s="1">
        <f>B$8*COS(2*PI()*A62/C$8+D$8)</f>
        <v>-385.32788189517396</v>
      </c>
    </row>
    <row r="63" spans="1:2" ht="12.75">
      <c r="A63" s="1">
        <f>A62+'Raw Data'!J$20/100</f>
        <v>61.55615</v>
      </c>
      <c r="B63" s="1">
        <f>B$8*COS(2*PI()*A63/C$8+D$8)</f>
        <v>-389.98105836520625</v>
      </c>
    </row>
    <row r="64" spans="1:2" ht="12.75">
      <c r="A64" s="1">
        <f>A63+'Raw Data'!J$20/100</f>
        <v>62.763133333333336</v>
      </c>
      <c r="B64" s="1">
        <f>B$8*COS(2*PI()*A64/C$8+D$8)</f>
        <v>-393.7582743343127</v>
      </c>
    </row>
    <row r="65" spans="1:2" ht="12.75">
      <c r="A65" s="1">
        <f>A64+'Raw Data'!J$20/100</f>
        <v>63.97011666666667</v>
      </c>
      <c r="B65" s="1">
        <f>B$8*COS(2*PI()*A65/C$8+D$8)</f>
        <v>-396.6510455648068</v>
      </c>
    </row>
    <row r="66" spans="1:2" ht="12.75">
      <c r="A66" s="1">
        <f>A65+'Raw Data'!J$20/100</f>
        <v>65.1771</v>
      </c>
      <c r="B66" s="1">
        <f>B$8*COS(2*PI()*A66/C$8+D$8)</f>
        <v>-398.65287442486317</v>
      </c>
    </row>
    <row r="67" spans="1:2" ht="12.75">
      <c r="A67" s="1">
        <f>A66+'Raw Data'!J$20/100</f>
        <v>66.38408333333332</v>
      </c>
      <c r="B67" s="1">
        <f>B$8*COS(2*PI()*A67/C$8+D$8)</f>
        <v>-399.75926448324907</v>
      </c>
    </row>
    <row r="68" spans="1:2" ht="12.75">
      <c r="A68" s="1">
        <f>A67+'Raw Data'!J$20/100</f>
        <v>67.59106666666665</v>
      </c>
      <c r="B68" s="1">
        <f>B$8*COS(2*PI()*A68/C$8+D$8)</f>
        <v>-399.96773060903575</v>
      </c>
    </row>
    <row r="69" spans="1:2" ht="12.75">
      <c r="A69" s="1">
        <f>A68+'Raw Data'!J$20/100</f>
        <v>68.79804999999998</v>
      </c>
      <c r="B69" s="1">
        <f>B$8*COS(2*PI()*A69/C$8+D$8)</f>
        <v>-399.27780455360437</v>
      </c>
    </row>
    <row r="70" spans="1:2" ht="12.75">
      <c r="A70" s="1">
        <f>A69+'Raw Data'!J$20/100</f>
        <v>70.0050333333333</v>
      </c>
      <c r="B70" s="1">
        <f>B$8*COS(2*PI()*A70/C$8+D$8)</f>
        <v>-397.69103600240794</v>
      </c>
    </row>
    <row r="71" spans="1:2" ht="12.75">
      <c r="A71" s="1">
        <f>A70+'Raw Data'!J$20/100</f>
        <v>71.21201666666663</v>
      </c>
      <c r="B71" s="1">
        <f>B$8*COS(2*PI()*A71/C$8+D$8)</f>
        <v>-395.21098909412746</v>
      </c>
    </row>
    <row r="72" spans="1:2" ht="12.75">
      <c r="A72" s="1">
        <f>A71+'Raw Data'!J$20/100</f>
        <v>72.41899999999995</v>
      </c>
      <c r="B72" s="1">
        <f>B$8*COS(2*PI()*A72/C$8+D$8)</f>
        <v>-391.8432344150401</v>
      </c>
    </row>
    <row r="73" spans="1:2" ht="12.75">
      <c r="A73" s="1">
        <f>A72+'Raw Data'!J$20/100</f>
        <v>73.62598333333328</v>
      </c>
      <c r="B73" s="1">
        <f>B$8*COS(2*PI()*A73/C$8+D$8)</f>
        <v>-387.595336486582</v>
      </c>
    </row>
    <row r="74" spans="1:2" ht="12.75">
      <c r="A74" s="1">
        <f>A73+'Raw Data'!J$20/100</f>
        <v>74.83296666666661</v>
      </c>
      <c r="B74" s="1">
        <f>B$8*COS(2*PI()*A74/C$8+D$8)</f>
        <v>-382.47683677421026</v>
      </c>
    </row>
    <row r="75" spans="1:2" ht="12.75">
      <c r="A75" s="1">
        <f>A74+'Raw Data'!J$20/100</f>
        <v>76.03994999999993</v>
      </c>
      <c r="B75" s="1">
        <f>B$8*COS(2*PI()*A75/C$8+D$8)</f>
        <v>-376.4992322557288</v>
      </c>
    </row>
    <row r="76" spans="1:2" ht="12.75">
      <c r="A76" s="1">
        <f>A75+'Raw Data'!J$20/100</f>
        <v>77.24693333333326</v>
      </c>
      <c r="B76" s="1">
        <f>B$8*COS(2*PI()*A76/C$8+D$8)</f>
        <v>-369.67594959721816</v>
      </c>
    </row>
    <row r="77" spans="1:2" ht="12.75">
      <c r="A77" s="1">
        <f>A76+'Raw Data'!J$20/100</f>
        <v>78.45391666666659</v>
      </c>
      <c r="B77" s="1">
        <f>B$8*COS(2*PI()*A77/C$8+D$8)</f>
        <v>-362.02231499457247</v>
      </c>
    </row>
    <row r="78" spans="1:2" ht="12.75">
      <c r="A78" s="1">
        <f>A77+'Raw Data'!J$20/100</f>
        <v>79.66089999999991</v>
      </c>
      <c r="B78" s="1">
        <f>B$8*COS(2*PI()*A78/C$8+D$8)</f>
        <v>-353.5555197483859</v>
      </c>
    </row>
    <row r="79" spans="1:2" ht="12.75">
      <c r="A79" s="1">
        <f>A78+'Raw Data'!J$20/100</f>
        <v>80.86788333333324</v>
      </c>
      <c r="B79" s="1">
        <f>B$8*COS(2*PI()*A79/C$8+D$8)</f>
        <v>-344.29458164951285</v>
      </c>
    </row>
    <row r="80" spans="1:2" ht="12.75">
      <c r="A80" s="1">
        <f>A79+'Raw Data'!J$20/100</f>
        <v>82.07486666666657</v>
      </c>
      <c r="B80" s="1">
        <f>B$8*COS(2*PI()*A80/C$8+D$8)</f>
        <v>-334.26030226203443</v>
      </c>
    </row>
    <row r="81" spans="1:2" ht="12.75">
      <c r="A81" s="1">
        <f>A80+'Raw Data'!J$20/100</f>
        <v>83.28184999999989</v>
      </c>
      <c r="B81" s="1">
        <f>B$8*COS(2*PI()*A81/C$8+D$8)</f>
        <v>-323.47522019958393</v>
      </c>
    </row>
    <row r="82" spans="1:2" ht="12.75">
      <c r="A82" s="1">
        <f>A81+'Raw Data'!J$20/100</f>
        <v>84.48883333333322</v>
      </c>
      <c r="B82" s="1">
        <f>B$8*COS(2*PI()*A82/C$8+D$8)</f>
        <v>-311.9635604999761</v>
      </c>
    </row>
    <row r="83" spans="1:2" ht="12.75">
      <c r="A83" s="1">
        <f>A82+'Raw Data'!J$20/100</f>
        <v>85.69581666666654</v>
      </c>
      <c r="B83" s="1">
        <f>B$8*COS(2*PI()*A83/C$8+D$8)</f>
        <v>-299.7511802118565</v>
      </c>
    </row>
    <row r="84" spans="1:2" ht="12.75">
      <c r="A84" s="1">
        <f>A83+'Raw Data'!J$20/100</f>
        <v>86.90279999999987</v>
      </c>
      <c r="B84" s="1">
        <f>B$8*COS(2*PI()*A84/C$8+D$8)</f>
        <v>-286.8655103155897</v>
      </c>
    </row>
    <row r="85" spans="1:2" ht="12.75">
      <c r="A85" s="1">
        <f>A84+'Raw Data'!J$20/100</f>
        <v>88.1097833333332</v>
      </c>
      <c r="B85" s="1">
        <f>B$8*COS(2*PI()*A85/C$8+D$8)</f>
        <v>-273.3354941088437</v>
      </c>
    </row>
    <row r="86" spans="1:2" ht="12.75">
      <c r="A86" s="1">
        <f>A85+'Raw Data'!J$20/100</f>
        <v>89.31676666666652</v>
      </c>
      <c r="B86" s="1">
        <f>B$8*COS(2*PI()*A86/C$8+D$8)</f>
        <v>-259.1915221952641</v>
      </c>
    </row>
    <row r="87" spans="1:2" ht="12.75">
      <c r="A87" s="1">
        <f>A86+'Raw Data'!J$20/100</f>
        <v>90.52374999999985</v>
      </c>
      <c r="B87" s="1">
        <f>B$8*COS(2*PI()*A87/C$8+D$8)</f>
        <v>-244.46536422226467</v>
      </c>
    </row>
    <row r="88" spans="1:2" ht="12.75">
      <c r="A88" s="1">
        <f>A87+'Raw Data'!J$20/100</f>
        <v>91.73073333333318</v>
      </c>
      <c r="B88" s="1">
        <f>B$8*COS(2*PI()*A88/C$8+D$8)</f>
        <v>-229.19009752126522</v>
      </c>
    </row>
    <row r="89" spans="1:2" ht="12.75">
      <c r="A89" s="1">
        <f>A88+'Raw Data'!J$20/100</f>
        <v>92.9377166666665</v>
      </c>
      <c r="B89" s="1">
        <f>B$8*COS(2*PI()*A89/C$8+D$8)</f>
        <v>-213.40003281065555</v>
      </c>
    </row>
    <row r="90" spans="1:2" ht="12.75">
      <c r="A90" s="1">
        <f>A89+'Raw Data'!J$20/100</f>
        <v>94.14469999999983</v>
      </c>
      <c r="B90" s="1">
        <f>B$8*COS(2*PI()*A90/C$8+D$8)</f>
        <v>-197.13063712837794</v>
      </c>
    </row>
    <row r="91" spans="1:2" ht="12.75">
      <c r="A91" s="1">
        <f>A90+'Raw Data'!J$20/100</f>
        <v>95.35168333333316</v>
      </c>
      <c r="B91" s="1">
        <f>B$8*COS(2*PI()*A91/C$8+D$8)</f>
        <v>-180.4184541672241</v>
      </c>
    </row>
    <row r="92" spans="1:2" ht="12.75">
      <c r="A92" s="1">
        <f>A91+'Raw Data'!J$20/100</f>
        <v>96.55866666666648</v>
      </c>
      <c r="B92" s="1">
        <f>B$8*COS(2*PI()*A92/C$8+D$8)</f>
        <v>-163.30102219179454</v>
      </c>
    </row>
    <row r="93" spans="1:2" ht="12.75">
      <c r="A93" s="1">
        <f>A92+'Raw Data'!J$20/100</f>
        <v>97.76564999999981</v>
      </c>
      <c r="B93" s="1">
        <f>B$8*COS(2*PI()*A93/C$8+D$8)</f>
        <v>-145.8167897214888</v>
      </c>
    </row>
    <row r="94" spans="1:2" ht="12.75">
      <c r="A94" s="1">
        <f>A93+'Raw Data'!J$20/100</f>
        <v>98.97263333333314</v>
      </c>
      <c r="B94" s="1">
        <f>B$8*COS(2*PI()*A94/C$8+D$8)</f>
        <v>-128.00502916891307</v>
      </c>
    </row>
    <row r="95" spans="1:2" ht="12.75">
      <c r="A95" s="1">
        <f>A94+'Raw Data'!J$20/100</f>
        <v>100.17961666666646</v>
      </c>
      <c r="B95" s="1">
        <f>B$8*COS(2*PI()*A95/C$8+D$8)</f>
        <v>-109.90574862769553</v>
      </c>
    </row>
    <row r="96" spans="1:2" ht="12.75">
      <c r="A96" s="1">
        <f>A95+'Raw Data'!J$20/100</f>
        <v>101.38659999999979</v>
      </c>
      <c r="B96" s="1">
        <f>B$8*COS(2*PI()*A96/C$8+D$8)</f>
        <v>-91.55960200783787</v>
      </c>
    </row>
    <row r="97" spans="1:2" ht="12.75">
      <c r="A97" s="1">
        <f>A96+'Raw Data'!J$20/100</f>
        <v>102.59358333333311</v>
      </c>
      <c r="B97" s="1">
        <f>B$8*COS(2*PI()*A97/C$8+D$8)</f>
        <v>-73.00779772046246</v>
      </c>
    </row>
    <row r="98" spans="1:2" ht="12.75">
      <c r="A98" s="1">
        <f>A97+'Raw Data'!J$20/100</f>
        <v>103.80056666666644</v>
      </c>
      <c r="B98" s="1">
        <f>B$8*COS(2*PI()*A98/C$8+D$8)</f>
        <v>-54.29200611706033</v>
      </c>
    </row>
    <row r="99" spans="1:2" ht="12.75">
      <c r="A99" s="1">
        <f>A98+'Raw Data'!J$20/100</f>
        <v>105.00754999999977</v>
      </c>
      <c r="B99" s="1">
        <f>B$8*COS(2*PI()*A99/C$8+D$8)</f>
        <v>-35.454265891142875</v>
      </c>
    </row>
    <row r="100" spans="1:2" ht="12.75">
      <c r="A100" s="1">
        <f>A99+'Raw Data'!J$20/100</f>
        <v>106.2145333333331</v>
      </c>
      <c r="B100" s="1">
        <f>B$8*COS(2*PI()*A100/C$8+D$8)</f>
        <v>-16.53688965254313</v>
      </c>
    </row>
    <row r="101" spans="1:2" ht="12.75">
      <c r="A101" s="1">
        <f>A100+'Raw Data'!J$20/100</f>
        <v>107.42151666666642</v>
      </c>
      <c r="B101" s="1">
        <f>B$8*COS(2*PI()*A101/C$8+D$8)</f>
        <v>2.4176311135485964</v>
      </c>
    </row>
    <row r="102" spans="1:2" ht="12.75">
      <c r="A102" s="1">
        <f>A101+'Raw Data'!J$20/100</f>
        <v>108.62849999999975</v>
      </c>
      <c r="B102" s="1">
        <f>B$8*COS(2*PI()*A102/C$8+D$8)</f>
        <v>21.3667214893285</v>
      </c>
    </row>
    <row r="103" spans="1:2" ht="12.75">
      <c r="A103" s="1">
        <f>A102+'Raw Data'!J$20/100</f>
        <v>109.83548333333307</v>
      </c>
      <c r="B103" s="1">
        <f>B$8*COS(2*PI()*A103/C$8+D$8)</f>
        <v>40.26781875452624</v>
      </c>
    </row>
    <row r="104" spans="1:2" ht="12.75">
      <c r="A104" s="1">
        <f>A103+'Raw Data'!J$20/100</f>
        <v>111.0424666666664</v>
      </c>
      <c r="B104" s="1">
        <f>B$8*COS(2*PI()*A104/C$8+D$8)</f>
        <v>59.078467989157744</v>
      </c>
    </row>
    <row r="105" spans="1:2" ht="12.75">
      <c r="A105" s="1">
        <f>A104+'Raw Data'!J$20/100</f>
        <v>112.24944999999973</v>
      </c>
      <c r="B105" s="1">
        <f>B$8*COS(2*PI()*A105/C$8+D$8)</f>
        <v>77.7564174341359</v>
      </c>
    </row>
    <row r="106" spans="1:2" ht="12.75">
      <c r="A106" s="1">
        <f>A105+'Raw Data'!J$20/100</f>
        <v>113.45643333333305</v>
      </c>
      <c r="B106" s="1">
        <f>B$8*COS(2*PI()*A106/C$8+D$8)</f>
        <v>96.25971339555431</v>
      </c>
    </row>
    <row r="107" spans="1:2" ht="12.75">
      <c r="A107" s="1">
        <f>A106+'Raw Data'!J$20/100</f>
        <v>114.66341666666638</v>
      </c>
      <c r="B107" s="1">
        <f>B$8*COS(2*PI()*A107/C$8+D$8)</f>
        <v>114.5467944794649</v>
      </c>
    </row>
    <row r="108" spans="1:2" ht="12.75">
      <c r="A108" s="1">
        <f>A107+'Raw Data'!J$20/100</f>
        <v>115.8703999999997</v>
      </c>
      <c r="B108" s="1">
        <f>B$8*COS(2*PI()*A108/C$8+D$8)</f>
        <v>132.57658494548642</v>
      </c>
    </row>
    <row r="109" spans="1:2" ht="12.75">
      <c r="A109" s="1">
        <f>A108+'Raw Data'!J$20/100</f>
        <v>117.07738333333303</v>
      </c>
      <c r="B109" s="1">
        <f>B$8*COS(2*PI()*A109/C$8+D$8)</f>
        <v>150.30858696956005</v>
      </c>
    </row>
    <row r="110" spans="1:2" ht="12.75">
      <c r="A110" s="1">
        <f>A109+'Raw Data'!J$20/100</f>
        <v>118.28436666666636</v>
      </c>
      <c r="B110" s="1">
        <f>B$8*COS(2*PI()*A110/C$8+D$8)</f>
        <v>167.70297160860642</v>
      </c>
    </row>
    <row r="111" spans="1:2" ht="12.75">
      <c r="A111" s="1">
        <f>A110+'Raw Data'!J$20/100</f>
        <v>119.49134999999968</v>
      </c>
      <c r="B111" s="1">
        <f>B$8*COS(2*PI()*A111/C$8+D$8)</f>
        <v>184.7206682627726</v>
      </c>
    </row>
    <row r="112" spans="1:2" ht="12.75">
      <c r="A112" s="1">
        <f>A111+'Raw Data'!J$20/100</f>
        <v>120.69833333333301</v>
      </c>
      <c r="B112" s="1">
        <f>B$8*COS(2*PI()*A112/C$8+D$8)</f>
        <v>201.32345243431467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7:Q50"/>
  <sheetViews>
    <sheetView zoomScale="90" zoomScaleNormal="90" workbookViewId="0" topLeftCell="A1">
      <selection activeCell="M11" sqref="M11"/>
    </sheetView>
  </sheetViews>
  <sheetFormatPr defaultColWidth="12.57421875" defaultRowHeight="12.75"/>
  <cols>
    <col min="1" max="7" width="11.57421875" style="0" customWidth="1"/>
    <col min="8" max="10" width="13.8515625" style="0" customWidth="1"/>
    <col min="11" max="12" width="11.57421875" style="0" customWidth="1"/>
    <col min="13" max="13" width="17.00390625" style="0" customWidth="1"/>
    <col min="14" max="14" width="11.57421875" style="0" customWidth="1"/>
    <col min="15" max="15" width="15.7109375" style="0" customWidth="1"/>
    <col min="16" max="16384" width="11.57421875" style="0" customWidth="1"/>
  </cols>
  <sheetData>
    <row r="7" ht="12.75">
      <c r="D7" t="s">
        <v>69</v>
      </c>
    </row>
    <row r="8" spans="4:13" ht="12.75">
      <c r="D8" t="s">
        <v>70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L8" t="s">
        <v>77</v>
      </c>
      <c r="M8" t="s">
        <v>78</v>
      </c>
    </row>
    <row r="9" spans="4:17" ht="12.75">
      <c r="D9" t="s">
        <v>11</v>
      </c>
      <c r="E9">
        <v>1704</v>
      </c>
      <c r="F9">
        <v>1240</v>
      </c>
      <c r="G9" s="4">
        <f>(D$36*E9-F9+E$36)/((D$36^2+1)^(1/2))</f>
        <v>299.41048370640203</v>
      </c>
      <c r="H9" s="4">
        <f>SQRT((E9-E14)^2+(F9-F14)^2)</f>
        <v>10</v>
      </c>
      <c r="I9" s="4">
        <f>G9-G14</f>
        <v>9.52480119241227</v>
      </c>
      <c r="J9" s="4">
        <f>H9/('Raw Data'!$J$3-'Raw Data'!$J$2)</f>
        <v>13.803680981595091</v>
      </c>
      <c r="K9" s="4">
        <f>I9/('Raw Data'!$J$3-'Raw Data'!$J$2)</f>
        <v>13.147731707317549</v>
      </c>
      <c r="L9" s="4">
        <f>G9/'Published Data'!A$14</f>
        <v>708.6048114384848</v>
      </c>
      <c r="M9" s="4">
        <f>K9/'Published Data'!A$14</f>
        <v>31.116298373984865</v>
      </c>
      <c r="N9" s="5">
        <f>$L9^2+($M9/(2*PI()))^2*J$40^2-(($M$35*$M$36)/(4*PI()^2))^(2/3)*J$40^(4/3)</f>
        <v>368506.9440507368</v>
      </c>
      <c r="O9" s="5">
        <f>$L9^2+($M9/(2*PI()))^2*L$40^2-(($M$35*$M$36)/(4*PI()^2))^(2/3)*L$40^(4/3)</f>
        <v>229991.0547998752</v>
      </c>
      <c r="P9" s="5">
        <f>$L9^2+($M9/(2*PI()))^2*M$40^2-(($M$35*$M$36)/(4*PI()^2))^(2/3)*M$40^(4/3)</f>
        <v>79466.80967413355</v>
      </c>
      <c r="Q9" s="5">
        <f>$L9^2+($M9/(2*PI()))^2*N$40^2-(($M$35*$M$36)/(4*PI()^2))^(2/3)*N$40^(4/3)</f>
        <v>892183.7246198854</v>
      </c>
    </row>
    <row r="10" spans="4:17" ht="12.75">
      <c r="D10" t="s">
        <v>12</v>
      </c>
      <c r="E10">
        <v>1745</v>
      </c>
      <c r="F10">
        <v>1244</v>
      </c>
      <c r="G10" s="4">
        <f>(D$36*E10-F10+E$36)/((D$36^2+1)^(1/2))</f>
        <v>259.36472726416326</v>
      </c>
      <c r="H10" s="4">
        <f>SQRT((E10-E15)^2+(F10-F15)^2)</f>
        <v>5.385164807134504</v>
      </c>
      <c r="I10" s="4">
        <f>G10-G15</f>
        <v>5.379337682808057</v>
      </c>
      <c r="J10" s="4">
        <f>H10/('Raw Data'!$J$3-'Raw Data'!$J$2)</f>
        <v>7.433509703099775</v>
      </c>
      <c r="K10" s="4">
        <f>I10/('Raw Data'!$J$3-'Raw Data'!$J$2)</f>
        <v>7.425466126575539</v>
      </c>
      <c r="L10" s="4">
        <f>G10/'Published Data'!A$14</f>
        <v>613.8298545251864</v>
      </c>
      <c r="M10" s="4">
        <f>K10/'Published Data'!A$14</f>
        <v>17.573603166228775</v>
      </c>
      <c r="N10" s="5">
        <f>$L10^2+($M10/(2*PI()))^2*J$40^2-(($M$35*$M$36)/(4*PI()^2))^(2/3)*J$40^(4/3)</f>
        <v>213061.9095579189</v>
      </c>
      <c r="O10" s="5">
        <f>$L10^2+($M10/(2*PI()))^2*L$40^2-(($M$35*$M$36)/(4*PI()^2))^(2/3)*L$40^(4/3)</f>
        <v>-16668.210341613565</v>
      </c>
      <c r="P10" s="5">
        <f>$L10^2+($M10/(2*PI()))^2*M$40^2-(($M$35*$M$36)/(4*PI()^2))^(2/3)*M$40^(4/3)</f>
        <v>-538327.7826243109</v>
      </c>
      <c r="Q10" s="5">
        <f>$L10^2+($M10/(2*PI()))^2*N$40^2-(($M$35*$M$36)/(4*PI()^2))^(2/3)*N$40^(4/3)</f>
        <v>-1912739.7487387983</v>
      </c>
    </row>
    <row r="11" spans="4:17" ht="12.75">
      <c r="D11" t="s">
        <v>13</v>
      </c>
      <c r="E11">
        <v>1972</v>
      </c>
      <c r="F11">
        <v>1290</v>
      </c>
      <c r="G11" s="4">
        <f>(D$36*E11-F11+E$36)/((D$36^2+1)^(1/2))</f>
        <v>29.828570863393256</v>
      </c>
      <c r="H11" s="4">
        <f>SQRT((E11-E16)^2+(F11-F16)^2)</f>
        <v>8.94427190999916</v>
      </c>
      <c r="I11" s="4">
        <f>G11-G16</f>
        <v>-8.869186263898303</v>
      </c>
      <c r="J11" s="4">
        <f>H11/('Raw Data'!$J$3-'Raw Data'!$J$2)</f>
        <v>12.34638760582706</v>
      </c>
      <c r="K11" s="4">
        <f>I11/('Raw Data'!$J$3-'Raw Data'!$J$2)</f>
        <v>-12.242741775319743</v>
      </c>
      <c r="L11" s="4">
        <f>G11/'Published Data'!A$14</f>
        <v>70.59428437669737</v>
      </c>
      <c r="M11" s="4">
        <f>K11/'Published Data'!A$14</f>
        <v>-28.974488868256724</v>
      </c>
      <c r="N11" s="5">
        <f>$L11^2+($M11/(2*PI()))^2*J$40^2-(($M$35*$M$36)/(4*PI()^2))^(2/3)*J$40^(4/3)</f>
        <v>-134507.54176277155</v>
      </c>
      <c r="O11" s="5">
        <f>$L11^2+($M11/(2*PI()))^2*L$40^2-(($M$35*$M$36)/(4*PI()^2))^(2/3)*L$40^(4/3)</f>
        <v>-290827.01075757446</v>
      </c>
      <c r="P11" s="5">
        <f>$L11^2+($M11/(2*PI()))^2*M$40^2-(($M$35*$M$36)/(4*PI()^2))^(2/3)*M$40^(4/3)</f>
        <v>-513791.02044464636</v>
      </c>
      <c r="Q11" s="5">
        <f>$L11^2+($M11/(2*PI()))^2*N$40^2-(($M$35*$M$36)/(4*PI()^2))^(2/3)*N$40^(4/3)</f>
        <v>-127967.18092495296</v>
      </c>
    </row>
    <row r="12" spans="4:17" ht="12.75">
      <c r="D12" t="s">
        <v>14</v>
      </c>
      <c r="E12">
        <v>2129</v>
      </c>
      <c r="F12">
        <v>1395</v>
      </c>
      <c r="G12" s="4">
        <f>(D$36*E12-F12+E$36)/((D$36^2+1)^(1/2))</f>
        <v>-152.9161073684228</v>
      </c>
      <c r="H12" s="4">
        <f>SQRT((E12-E17)^2+(F12-F17)^2)</f>
        <v>9.848857801796104</v>
      </c>
      <c r="I12" s="4">
        <f>G12-G17</f>
        <v>9.813930814757043</v>
      </c>
      <c r="J12" s="4">
        <f>H12/('Raw Data'!$J$3-'Raw Data'!$J$2)</f>
        <v>13.595049112908733</v>
      </c>
      <c r="K12" s="4">
        <f>I12/('Raw Data'!$J$3-'Raw Data'!$J$2)</f>
        <v>13.546837014235182</v>
      </c>
      <c r="L12" s="4">
        <f>G12/'Published Data'!A$14</f>
        <v>-361.90145410526725</v>
      </c>
      <c r="M12" s="4">
        <f>K12/'Published Data'!A$14</f>
        <v>32.060847600356595</v>
      </c>
      <c r="N12" s="5">
        <f>$L12^2+($M12/(2*PI()))^2*J$40^2-(($M$35*$M$36)/(4*PI()^2))^(2/3)*J$40^(4/3)</f>
        <v>83.8544793970068</v>
      </c>
      <c r="O12" s="5">
        <f>$L12^2+($M12/(2*PI()))^2*L$40^2-(($M$35*$M$36)/(4*PI()^2))^(2/3)*L$40^(4/3)</f>
        <v>-130177.29858521296</v>
      </c>
      <c r="P12" s="5">
        <f>$L12^2+($M12/(2*PI()))^2*M$40^2-(($M$35*$M$36)/(4*PI()^2))^(2/3)*M$40^(4/3)</f>
        <v>-247114.41379392415</v>
      </c>
      <c r="Q12" s="5">
        <f>$L12^2+($M12/(2*PI()))^2*N$40^2-(($M$35*$M$36)/(4*PI()^2))^(2/3)*N$40^(4/3)</f>
        <v>763534.0277359118</v>
      </c>
    </row>
    <row r="13" spans="4:9" ht="12.75">
      <c r="D13" t="s">
        <v>79</v>
      </c>
      <c r="E13">
        <v>1989</v>
      </c>
      <c r="F13">
        <v>1332</v>
      </c>
      <c r="G13" s="4">
        <f>(D$36*E13-F13+E$36)/((D$36^2+1)^(1/2))</f>
        <v>0</v>
      </c>
      <c r="H13" s="4"/>
      <c r="I13" s="4"/>
    </row>
    <row r="14" spans="4:9" ht="12.75">
      <c r="D14" t="s">
        <v>11</v>
      </c>
      <c r="E14">
        <v>1712</v>
      </c>
      <c r="F14">
        <v>1246</v>
      </c>
      <c r="G14" s="4">
        <f>(D$36*E14-F14+E$36)/((D$36^2+1)^(1/2))</f>
        <v>289.88568251398976</v>
      </c>
      <c r="H14" s="4"/>
      <c r="I14" s="4"/>
    </row>
    <row r="15" spans="4:12" ht="12.75">
      <c r="D15" t="s">
        <v>12</v>
      </c>
      <c r="E15">
        <v>1750</v>
      </c>
      <c r="F15">
        <v>1246</v>
      </c>
      <c r="G15" s="4">
        <f>(D$36*E15-F15+E$36)/((D$36^2+1)^(1/2))</f>
        <v>253.9853895813552</v>
      </c>
      <c r="H15" s="4"/>
      <c r="I15" s="4"/>
      <c r="L15" s="1">
        <f>('Raw Data'!J$3-'Raw Data'!J$2)</f>
        <v>0.7244444444444444</v>
      </c>
    </row>
    <row r="16" spans="4:9" ht="12.75">
      <c r="D16" t="s">
        <v>13</v>
      </c>
      <c r="E16">
        <v>1964</v>
      </c>
      <c r="F16">
        <v>1286</v>
      </c>
      <c r="G16" s="4">
        <f>(D$36*E16-F16+E$36)/((D$36^2+1)^(1/2))</f>
        <v>38.69775712729156</v>
      </c>
      <c r="H16" s="4"/>
      <c r="I16" s="4"/>
    </row>
    <row r="17" spans="4:9" ht="12.75">
      <c r="D17" t="s">
        <v>14</v>
      </c>
      <c r="E17">
        <v>2138</v>
      </c>
      <c r="F17">
        <v>1399</v>
      </c>
      <c r="G17" s="4">
        <f>(D$36*E17-F17+E$36)/((D$36^2+1)^(1/2))</f>
        <v>-162.73003818317983</v>
      </c>
      <c r="H17" s="4"/>
      <c r="I17" s="4"/>
    </row>
    <row r="18" spans="4:9" ht="12.75">
      <c r="D18" t="s">
        <v>79</v>
      </c>
      <c r="E18">
        <v>1989</v>
      </c>
      <c r="F18">
        <v>1333</v>
      </c>
      <c r="G18" s="4">
        <f>(D$36*E18-F18+E$36)/((D$36^2+1)^(1/2))</f>
        <v>-0.32780746425698787</v>
      </c>
      <c r="H18" s="4"/>
      <c r="I18" s="4"/>
    </row>
    <row r="19" spans="4:9" ht="12.75">
      <c r="D19" t="s">
        <v>11</v>
      </c>
      <c r="E19">
        <v>1721</v>
      </c>
      <c r="F19">
        <v>1249</v>
      </c>
      <c r="G19" s="4">
        <f>(D$36*E19-F19+E$36)/((D$36^2+1)^(1/2))</f>
        <v>280.3995591634897</v>
      </c>
      <c r="H19" s="4"/>
      <c r="I19" s="4"/>
    </row>
    <row r="20" spans="4:9" ht="12.75">
      <c r="D20" t="s">
        <v>12</v>
      </c>
      <c r="E20">
        <v>1756</v>
      </c>
      <c r="F20">
        <v>1249</v>
      </c>
      <c r="G20" s="4">
        <f>(D$36*E20-F20+E$36)/((D$36^2+1)^(1/2))</f>
        <v>247.33349988343141</v>
      </c>
      <c r="H20" s="4"/>
      <c r="I20" s="4"/>
    </row>
    <row r="21" spans="4:9" ht="12.75">
      <c r="D21" t="s">
        <v>13</v>
      </c>
      <c r="E21">
        <v>1955</v>
      </c>
      <c r="F21">
        <v>1283</v>
      </c>
      <c r="G21" s="4">
        <f>(D$36*E21-F21+E$36)/((D$36^2+1)^(1/2))</f>
        <v>48.18388047779194</v>
      </c>
      <c r="H21" s="4"/>
      <c r="I21" s="4"/>
    </row>
    <row r="22" spans="4:10" ht="12.75">
      <c r="D22" t="s">
        <v>14</v>
      </c>
      <c r="E22">
        <v>2145</v>
      </c>
      <c r="F22">
        <v>1399</v>
      </c>
      <c r="G22" s="4">
        <f>(D$36*E22-F22+E$36)/((D$36^2+1)^(1/2))</f>
        <v>-169.34325003919145</v>
      </c>
      <c r="H22" s="4"/>
      <c r="I22" s="4"/>
      <c r="J22" s="1">
        <f>SQRT((E9-E13)^2+(F9-F13)^2)</f>
        <v>299.4812181089158</v>
      </c>
    </row>
    <row r="23" spans="4:9" ht="12.75">
      <c r="D23" t="s">
        <v>79</v>
      </c>
      <c r="E23">
        <v>1990</v>
      </c>
      <c r="F23">
        <v>1333</v>
      </c>
      <c r="G23" s="4">
        <f>(D$36*E23-F23+E$36)/((D$36^2+1)^(1/2))</f>
        <v>-1.272552015115745</v>
      </c>
      <c r="H23" s="4"/>
      <c r="I23" s="4"/>
    </row>
    <row r="24" spans="4:9" ht="12.75">
      <c r="D24" t="s">
        <v>11</v>
      </c>
      <c r="E24">
        <v>1728</v>
      </c>
      <c r="F24">
        <v>1253</v>
      </c>
      <c r="G24" s="4">
        <f>(D$36*E24-F24+E$36)/((D$36^2+1)^(1/2))</f>
        <v>272.47511745045017</v>
      </c>
      <c r="H24" s="4"/>
      <c r="I24" s="4"/>
    </row>
    <row r="25" spans="4:9" ht="12.75">
      <c r="D25" t="s">
        <v>12</v>
      </c>
      <c r="E25">
        <v>1762</v>
      </c>
      <c r="F25">
        <v>1252</v>
      </c>
      <c r="G25" s="4">
        <f>(D$36*E25-F25+E$36)/((D$36^2+1)^(1/2))</f>
        <v>240.68161018550762</v>
      </c>
      <c r="H25" s="4"/>
      <c r="I25" s="4"/>
    </row>
    <row r="26" spans="4:9" ht="12.75">
      <c r="D26" t="s">
        <v>13</v>
      </c>
      <c r="E26">
        <v>1948</v>
      </c>
      <c r="F26">
        <v>1281</v>
      </c>
      <c r="G26" s="4">
        <f>(D$36*E26-F26+E$36)/((D$36^2+1)^(1/2))</f>
        <v>55.45270726231751</v>
      </c>
      <c r="H26" s="4"/>
      <c r="I26" s="4"/>
    </row>
    <row r="27" spans="4:9" ht="12.75">
      <c r="D27" t="s">
        <v>14</v>
      </c>
      <c r="E27">
        <v>2149</v>
      </c>
      <c r="F27">
        <v>1401</v>
      </c>
      <c r="G27" s="4">
        <f>(D$36*E27-F27+E$36)/((D$36^2+1)^(1/2))</f>
        <v>-173.77784317114074</v>
      </c>
      <c r="H27" s="4"/>
      <c r="I27" s="4"/>
    </row>
    <row r="28" spans="4:9" ht="12.75">
      <c r="D28" t="s">
        <v>79</v>
      </c>
      <c r="E28">
        <v>1990</v>
      </c>
      <c r="F28">
        <v>1333</v>
      </c>
      <c r="G28" s="4">
        <f>(D$36*E28-F28+E$36)/((D$36^2+1)^(1/2))</f>
        <v>-1.272552015115745</v>
      </c>
      <c r="H28" s="4"/>
      <c r="I28" s="4"/>
    </row>
    <row r="34" spans="4:13" ht="12.75">
      <c r="D34" t="s">
        <v>80</v>
      </c>
      <c r="E34" t="s">
        <v>81</v>
      </c>
      <c r="L34" t="s">
        <v>82</v>
      </c>
      <c r="M34" t="s">
        <v>83</v>
      </c>
    </row>
    <row r="35" spans="3:13" ht="12.75">
      <c r="C35" t="s">
        <v>84</v>
      </c>
      <c r="D35">
        <v>0.34698</v>
      </c>
      <c r="E35">
        <v>638.831</v>
      </c>
      <c r="J35" t="s">
        <v>85</v>
      </c>
      <c r="L35" s="5">
        <v>6.67384E-11</v>
      </c>
      <c r="M35" s="1">
        <f>L35*0.000000000000000001*(3600^2)</f>
        <v>8.64929664E-22</v>
      </c>
    </row>
    <row r="36" spans="3:13" ht="12.75">
      <c r="C36" t="s">
        <v>86</v>
      </c>
      <c r="D36" s="1">
        <f>-1/D35</f>
        <v>-2.8820104905181854</v>
      </c>
      <c r="E36" s="1">
        <f>F13-D36*E13</f>
        <v>7064.318865640671</v>
      </c>
      <c r="J36" t="s">
        <v>87</v>
      </c>
      <c r="M36" s="5">
        <v>1.8986000000000002E+27</v>
      </c>
    </row>
    <row r="38" spans="7:14" ht="12.75">
      <c r="G38" t="s">
        <v>88</v>
      </c>
      <c r="J38" t="s">
        <v>89</v>
      </c>
      <c r="L38" t="s">
        <v>61</v>
      </c>
      <c r="M38" t="s">
        <v>60</v>
      </c>
      <c r="N38" t="s">
        <v>62</v>
      </c>
    </row>
    <row r="39" spans="7:14" ht="12.75">
      <c r="G39" t="s">
        <v>90</v>
      </c>
      <c r="J39">
        <v>1.7691379999999999</v>
      </c>
      <c r="L39">
        <v>3.5511809999999997</v>
      </c>
      <c r="M39">
        <v>7.154553</v>
      </c>
      <c r="N39">
        <v>16.689018</v>
      </c>
    </row>
    <row r="40" spans="7:14" ht="12.75">
      <c r="G40" t="s">
        <v>91</v>
      </c>
      <c r="J40" s="1">
        <f>J39*24</f>
        <v>42.459312</v>
      </c>
      <c r="L40" s="1">
        <f>L39*24</f>
        <v>85.22834399999999</v>
      </c>
      <c r="M40" s="1">
        <f>M39*24</f>
        <v>171.709272</v>
      </c>
      <c r="N40" s="1">
        <f>N39*24</f>
        <v>400.536432</v>
      </c>
    </row>
    <row r="43" ht="12.75">
      <c r="D43" t="s">
        <v>92</v>
      </c>
    </row>
    <row r="44" spans="4:5" ht="12.75">
      <c r="D44" t="s">
        <v>71</v>
      </c>
      <c r="E44" t="s">
        <v>72</v>
      </c>
    </row>
    <row r="45" spans="4:5" ht="12.75">
      <c r="D45">
        <v>1700</v>
      </c>
      <c r="E45" s="1">
        <f>D$36*D45+E$36</f>
        <v>2164.901031759756</v>
      </c>
    </row>
    <row r="46" spans="4:5" ht="12.75">
      <c r="D46" s="1">
        <f>D45+100</f>
        <v>1800</v>
      </c>
      <c r="E46" s="1">
        <f>D$36*D46+E$36</f>
        <v>1876.6999827079371</v>
      </c>
    </row>
    <row r="47" spans="4:5" ht="12.75">
      <c r="D47" s="1">
        <f>D46+100</f>
        <v>1900</v>
      </c>
      <c r="E47" s="1">
        <f>D$36*D47+E$36</f>
        <v>1588.4989336561184</v>
      </c>
    </row>
    <row r="48" spans="4:5" ht="12.75">
      <c r="D48" s="1">
        <f>D47+100</f>
        <v>2000</v>
      </c>
      <c r="E48" s="1">
        <f>D$36*D48+E$36</f>
        <v>1300.2978846043006</v>
      </c>
    </row>
    <row r="49" spans="4:5" ht="12.75">
      <c r="D49" s="1">
        <f>D48+100</f>
        <v>2100</v>
      </c>
      <c r="E49" s="1">
        <f>D$36*D49+E$36</f>
        <v>1012.0968355524819</v>
      </c>
    </row>
    <row r="50" spans="4:5" ht="12.75">
      <c r="D50" s="1">
        <f>D49+100</f>
        <v>2200</v>
      </c>
      <c r="E50" s="1">
        <f>D$36*D50+E$36</f>
        <v>723.8957865006632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L14"/>
  <sheetViews>
    <sheetView zoomScale="90" zoomScaleNormal="90" workbookViewId="0" topLeftCell="A1">
      <selection activeCell="E10" sqref="E10"/>
    </sheetView>
  </sheetViews>
  <sheetFormatPr defaultColWidth="12.57421875" defaultRowHeight="12.75"/>
  <cols>
    <col min="1" max="1" width="16.28125" style="0" customWidth="1"/>
    <col min="2" max="6" width="11.57421875" style="0" customWidth="1"/>
    <col min="7" max="7" width="16.7109375" style="0" customWidth="1"/>
    <col min="8" max="8" width="24.28125" style="0" customWidth="1"/>
    <col min="9" max="9" width="19.8515625" style="0" customWidth="1"/>
    <col min="10" max="10" width="30.57421875" style="0" customWidth="1"/>
    <col min="11" max="11" width="24.140625" style="0" customWidth="1"/>
    <col min="12" max="12" width="23.8515625" style="0" customWidth="1"/>
    <col min="13" max="16384" width="11.57421875" style="0" customWidth="1"/>
  </cols>
  <sheetData>
    <row r="7" spans="1:12" ht="12.75">
      <c r="A7" t="s">
        <v>93</v>
      </c>
      <c r="E7" t="s">
        <v>88</v>
      </c>
      <c r="F7" t="s">
        <v>90</v>
      </c>
      <c r="G7" t="s">
        <v>94</v>
      </c>
      <c r="H7" t="s">
        <v>95</v>
      </c>
      <c r="I7" t="s">
        <v>96</v>
      </c>
      <c r="J7" t="s">
        <v>97</v>
      </c>
      <c r="K7" t="s">
        <v>98</v>
      </c>
      <c r="L7" t="s">
        <v>99</v>
      </c>
    </row>
    <row r="8" spans="1:12" ht="12.75">
      <c r="A8" s="1">
        <f>71*2</f>
        <v>142</v>
      </c>
      <c r="B8" t="s">
        <v>100</v>
      </c>
      <c r="E8" t="s">
        <v>63</v>
      </c>
      <c r="F8">
        <v>1.7691379999999999</v>
      </c>
      <c r="G8">
        <v>421.6</v>
      </c>
      <c r="H8" s="1">
        <f>G8/A$8</f>
        <v>2.9690140845070423</v>
      </c>
      <c r="I8" s="1">
        <f>H8*A$9</f>
        <v>178.14084507042253</v>
      </c>
      <c r="J8" s="1">
        <f>G8*(2*PI()/(F8*24))</f>
        <v>62.38892720416463</v>
      </c>
      <c r="K8" s="1">
        <f>J8*A$14</f>
        <v>26.36151853697097</v>
      </c>
      <c r="L8" s="1">
        <f>K8*24</f>
        <v>632.6764448873032</v>
      </c>
    </row>
    <row r="9" spans="1:12" ht="12.75">
      <c r="A9">
        <v>60</v>
      </c>
      <c r="B9" t="s">
        <v>101</v>
      </c>
      <c r="E9" t="s">
        <v>61</v>
      </c>
      <c r="F9">
        <v>3.5511809999999997</v>
      </c>
      <c r="G9">
        <v>670.9</v>
      </c>
      <c r="H9" s="1">
        <f>G9/A$8</f>
        <v>4.724647887323943</v>
      </c>
      <c r="I9" s="1">
        <f>H9*A$9</f>
        <v>283.4788732394366</v>
      </c>
      <c r="J9" s="1">
        <f>G9*(2*PI()/(F9*24))</f>
        <v>49.45994283998742</v>
      </c>
      <c r="K9" s="1">
        <f>J9*A$14</f>
        <v>20.898567397177782</v>
      </c>
      <c r="L9" s="1">
        <f>K9*24</f>
        <v>501.56561753226674</v>
      </c>
    </row>
    <row r="10" spans="5:12" ht="12.75">
      <c r="E10" t="s">
        <v>60</v>
      </c>
      <c r="F10">
        <v>7.154553</v>
      </c>
      <c r="G10">
        <v>1070.4</v>
      </c>
      <c r="H10" s="1">
        <f>G10/A$8</f>
        <v>7.538028169014085</v>
      </c>
      <c r="I10" s="1">
        <f>H10*A$9</f>
        <v>452.2816901408451</v>
      </c>
      <c r="J10" s="1">
        <f>G10*(2*PI()/(F10*24))</f>
        <v>39.16807446953144</v>
      </c>
      <c r="K10" s="1">
        <f>J10*A$14</f>
        <v>16.549890620928778</v>
      </c>
      <c r="L10" s="1">
        <f>K10*24</f>
        <v>397.1973749022907</v>
      </c>
    </row>
    <row r="11" spans="5:12" ht="12.75">
      <c r="E11" t="s">
        <v>62</v>
      </c>
      <c r="F11">
        <v>16.689018</v>
      </c>
      <c r="G11">
        <v>1882.7</v>
      </c>
      <c r="H11" s="1">
        <f>G11/A$8</f>
        <v>13.258450704225352</v>
      </c>
      <c r="I11" s="1">
        <f>H11*A$9</f>
        <v>795.5070422535211</v>
      </c>
      <c r="J11" s="1">
        <f>(2*PI()*G11)/(F11*24)</f>
        <v>29.533775289202676</v>
      </c>
      <c r="K11" s="1">
        <f>J11*A$14</f>
        <v>12.479059981353243</v>
      </c>
      <c r="L11" s="1">
        <f>K11*24</f>
        <v>299.49743955247783</v>
      </c>
    </row>
    <row r="13" ht="12.75">
      <c r="A13" t="s">
        <v>102</v>
      </c>
    </row>
    <row r="14" ht="12.75">
      <c r="A14" s="1">
        <f>A9/A8</f>
        <v>0.4225352112676056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gruch </cp:lastModifiedBy>
  <dcterms:modified xsi:type="dcterms:W3CDTF">2012-05-03T14:27:56Z</dcterms:modified>
  <cp:category/>
  <cp:version/>
  <cp:contentType/>
  <cp:contentStatus/>
  <cp:revision>6</cp:revision>
</cp:coreProperties>
</file>